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5135" windowHeight="8880" activeTab="0"/>
  </bookViews>
  <sheets>
    <sheet name="Q 1 A" sheetId="1" r:id="rId1"/>
  </sheets>
  <definedNames/>
  <calcPr fullCalcOnLoad="1"/>
</workbook>
</file>

<file path=xl/sharedStrings.xml><?xml version="1.0" encoding="utf-8"?>
<sst xmlns="http://schemas.openxmlformats.org/spreadsheetml/2006/main" count="749" uniqueCount="394">
  <si>
    <t>Power generation units (KWH)</t>
  </si>
  <si>
    <t>Flat Rate (Rs/kwh)</t>
  </si>
  <si>
    <t>Cash Inflows</t>
  </si>
  <si>
    <t>Cash Outflows</t>
  </si>
  <si>
    <t>Net cash flow</t>
  </si>
  <si>
    <t>NPV</t>
  </si>
  <si>
    <t>IRR</t>
  </si>
  <si>
    <t>Year 20</t>
  </si>
  <si>
    <t>WACC</t>
  </si>
  <si>
    <t>400Mn</t>
  </si>
  <si>
    <t>Equity</t>
  </si>
  <si>
    <t>Debt</t>
  </si>
  <si>
    <t xml:space="preserve">Cost </t>
  </si>
  <si>
    <t>Cost of Debt</t>
  </si>
  <si>
    <t>Kd</t>
  </si>
  <si>
    <t>Risk free + risk premium</t>
  </si>
  <si>
    <t>Project Cost of Capital</t>
  </si>
  <si>
    <t xml:space="preserve">Discounted C/F </t>
  </si>
  <si>
    <t>Description</t>
  </si>
  <si>
    <t>Amount</t>
  </si>
  <si>
    <t>Weight</t>
  </si>
  <si>
    <t>Cost of Equity</t>
  </si>
  <si>
    <t xml:space="preserve">Project investment </t>
  </si>
  <si>
    <t>Sensitivity Analysis</t>
  </si>
  <si>
    <t>Operation &amp; Maintenance Expense</t>
  </si>
  <si>
    <t>Avg expenses for first 10 yrs</t>
  </si>
  <si>
    <t>For next 10 yrs</t>
  </si>
  <si>
    <t>All above will increased by 10%</t>
  </si>
  <si>
    <t>year 1-10</t>
  </si>
  <si>
    <t>Note 01</t>
  </si>
  <si>
    <t>Note 02</t>
  </si>
  <si>
    <t>for next 10 years</t>
  </si>
  <si>
    <t>Year 0</t>
  </si>
  <si>
    <t>Year 11-20</t>
  </si>
  <si>
    <t>Residual value of land</t>
  </si>
  <si>
    <t>Scenario analysis</t>
  </si>
  <si>
    <t>A</t>
  </si>
  <si>
    <t>(2000*0.25)</t>
  </si>
  <si>
    <t>(3000*0.25)</t>
  </si>
  <si>
    <t>5000/25</t>
  </si>
  <si>
    <t>Quality</t>
  </si>
  <si>
    <t>4*8*26</t>
  </si>
  <si>
    <t>4.5*200</t>
  </si>
  <si>
    <t>Packing</t>
  </si>
  <si>
    <t>6*200</t>
  </si>
  <si>
    <t>7*8*26</t>
  </si>
  <si>
    <t>Machine hrs</t>
  </si>
  <si>
    <t>ABB</t>
  </si>
  <si>
    <t>can use to identify the waste and control cost</t>
  </si>
  <si>
    <t>B</t>
  </si>
  <si>
    <t>C</t>
  </si>
  <si>
    <t>D</t>
  </si>
  <si>
    <t>D 1</t>
  </si>
  <si>
    <t>Activity</t>
  </si>
  <si>
    <t>Time in weeks</t>
  </si>
  <si>
    <t>TF</t>
  </si>
  <si>
    <t>Immediate preceding activity</t>
  </si>
  <si>
    <t>-</t>
  </si>
  <si>
    <t>B &amp; C</t>
  </si>
  <si>
    <t>E</t>
  </si>
  <si>
    <t>F</t>
  </si>
  <si>
    <t>G</t>
  </si>
  <si>
    <t>H</t>
  </si>
  <si>
    <t>I</t>
  </si>
  <si>
    <t>J</t>
  </si>
  <si>
    <t>G &amp; H</t>
  </si>
  <si>
    <t>K</t>
  </si>
  <si>
    <t>I &amp; J</t>
  </si>
  <si>
    <t>L</t>
  </si>
  <si>
    <t>M</t>
  </si>
  <si>
    <t>Revised float time is given below.</t>
  </si>
  <si>
    <t>01 mark</t>
  </si>
  <si>
    <t>To evaluate project risk</t>
  </si>
  <si>
    <t>focus on cost drivers and help to identify the resources requirement</t>
  </si>
  <si>
    <t>Provide more valuable information on quality management and in continuous improvements</t>
  </si>
  <si>
    <t>Help to create more accurate forecast</t>
  </si>
  <si>
    <t>Help to identify value additing activities and relevant cost drivers</t>
  </si>
  <si>
    <t>Act as communication tool within the orgznaition regarding company strategies objectives</t>
  </si>
  <si>
    <t>Help to have optimum utilization of resources</t>
  </si>
  <si>
    <t>Activity Based Budgeting</t>
  </si>
  <si>
    <t>Calculate resource requirement</t>
  </si>
  <si>
    <t>Existing capacity</t>
  </si>
  <si>
    <t>Excess / (deficit)</t>
  </si>
  <si>
    <t>Staff requirement</t>
  </si>
  <si>
    <t>Existing Staff</t>
  </si>
  <si>
    <t>Observation and suggestion</t>
  </si>
  <si>
    <t>Indirect staff</t>
  </si>
  <si>
    <t>New recruitment</t>
  </si>
  <si>
    <t>(2*8*26)</t>
  </si>
  <si>
    <t>(2.5*200)</t>
  </si>
  <si>
    <t>Salary ( Engineer machine operator and workers)</t>
  </si>
  <si>
    <t>Payment to promoters is sunk cost and not required to consider in NPV calculation</t>
  </si>
  <si>
    <t>To evaluate project feasibility</t>
  </si>
  <si>
    <t>Initial investment</t>
  </si>
  <si>
    <t>Total Cash Inflow</t>
  </si>
  <si>
    <t>Total cash out flow</t>
  </si>
  <si>
    <t xml:space="preserve">Retrench excess staff </t>
  </si>
  <si>
    <t xml:space="preserve">Traditional budgeting mainly focus on output level and resources required to achive such output. </t>
  </si>
  <si>
    <t>It refers to all planned resources requirement ( expenses and revenue)</t>
  </si>
  <si>
    <t>Fail to identify waste, cost drivers</t>
  </si>
  <si>
    <t>Its not compulsory to explain about traditional budgeting</t>
  </si>
  <si>
    <t>Excess machine hours in Kid assembling machine and shortage in advanced bike assembling machine.</t>
  </si>
  <si>
    <t>Required assembling machine hours</t>
  </si>
  <si>
    <t>Batches</t>
  </si>
  <si>
    <t>Kid - A Machine</t>
  </si>
  <si>
    <t>Advanced - B Machine</t>
  </si>
  <si>
    <t>Need to check the possibility of substitute machine A into machine B and utilize both machines at existing capacity</t>
  </si>
  <si>
    <t>If it cant substitute, company can rent machine type B and rent out machine A and earn additional income.</t>
  </si>
  <si>
    <t>Company can buy new machine type B but need to check demand for advanced bike before that in order to fully utilize new machine type B</t>
  </si>
  <si>
    <t>Shipping</t>
  </si>
  <si>
    <t>See possibility of transferring staff among each division from excess place to shortage place</t>
  </si>
  <si>
    <t>Total completion time</t>
  </si>
  <si>
    <t>ABB is drived from activity based costing and it focus on activities that incurred cost in every functional areas in the organization and analyzed its relationship and connect with organization strategic management process.</t>
  </si>
  <si>
    <t>+                    8</t>
  </si>
  <si>
    <t>Since this is BOI tax exempt company, tax benefit on interest cant be deducted.</t>
  </si>
  <si>
    <t>Discount factor  @ 15%</t>
  </si>
  <si>
    <t>Project is feasible since it yield positive NPV of Rs. 202,956,794/-</t>
  </si>
  <si>
    <t>(2,000 + 3,000)</t>
  </si>
  <si>
    <t>Focus on what managers tend to spend not what resources they need</t>
  </si>
  <si>
    <t>Not help for continuous improvements</t>
  </si>
  <si>
    <t>Discounted payback</t>
  </si>
  <si>
    <t>04 years and 02 months</t>
  </si>
  <si>
    <t>15%+ (45%-15%) *202,956,794/ (202,956,794+186,912,769)</t>
  </si>
  <si>
    <t>Discount factor  @ 25%</t>
  </si>
  <si>
    <t>IRR rate</t>
  </si>
  <si>
    <t>Deprecation , capital allowance,  income tax calculation is not relevant as this is BOI project and exempt from tax.</t>
  </si>
  <si>
    <t>investment</t>
  </si>
  <si>
    <t>yearly cash flow</t>
  </si>
  <si>
    <t xml:space="preserve">D  </t>
  </si>
  <si>
    <t>Revised Network</t>
  </si>
  <si>
    <t>b</t>
  </si>
  <si>
    <t>c</t>
  </si>
  <si>
    <t>a</t>
  </si>
  <si>
    <t>ABC-the identification and evaluation of the activity drivers used to trace the cost of activities to cost objects.</t>
  </si>
  <si>
    <t>ABM-a system of management that uses activity based cost information to improve profitability, for cost modelling and cost reduction</t>
  </si>
  <si>
    <t>ABB-a method of budgeting based on activity framework and utilising cost driver data in the budgeting and variance analysis.</t>
  </si>
  <si>
    <t xml:space="preserve"> </t>
  </si>
  <si>
    <t>First allocate resources to satisfy the compulsory supply</t>
  </si>
  <si>
    <t>PRODUCT</t>
  </si>
  <si>
    <t>SUPPLY</t>
  </si>
  <si>
    <t>COMPULSORY MINIMUM SUPPLY</t>
  </si>
  <si>
    <t>BALANCE</t>
  </si>
  <si>
    <t>F 01</t>
  </si>
  <si>
    <t>F 02</t>
  </si>
  <si>
    <t>F 03</t>
  </si>
  <si>
    <t>DEMAND</t>
  </si>
  <si>
    <t>COMPULSORY SUPPLY</t>
  </si>
  <si>
    <t xml:space="preserve">K </t>
  </si>
  <si>
    <t xml:space="preserve">Excess Demand </t>
  </si>
  <si>
    <t>a dummy variable has to introduce</t>
  </si>
  <si>
    <t>Initial feasible solution based on Least Cost Method</t>
  </si>
  <si>
    <t>SUPERMARKETS</t>
  </si>
  <si>
    <t>DUMMY</t>
  </si>
  <si>
    <t>F1</t>
  </si>
  <si>
    <t>F2</t>
  </si>
  <si>
    <t>F3</t>
  </si>
  <si>
    <t>TOTAL CONTRIBUTION</t>
  </si>
  <si>
    <t>Assessment of open square -STEPPING STONE METHOD</t>
  </si>
  <si>
    <t>CF1:-</t>
  </si>
  <si>
    <t>CF1-AF1+AF2-KF2+KF3-CF3    =</t>
  </si>
  <si>
    <t>CF2:-</t>
  </si>
  <si>
    <t>CF2-KF2+KF3-CF3</t>
  </si>
  <si>
    <t xml:space="preserve">          =</t>
  </si>
  <si>
    <t>KF1:-</t>
  </si>
  <si>
    <t>KF1-AF1+AF2-KF2</t>
  </si>
  <si>
    <t>AF3:-</t>
  </si>
  <si>
    <t>AF3-AF2+KF2-KF3</t>
  </si>
  <si>
    <t>Contribution can increase bu supplying AF3.</t>
  </si>
  <si>
    <t>Minimum qty can be supplied</t>
  </si>
  <si>
    <t>Contribution</t>
  </si>
  <si>
    <t>Assessment of open square</t>
  </si>
  <si>
    <t>CF1-AF1+AF3-CF3</t>
  </si>
  <si>
    <t>CF2-AF2+AF3-CF3</t>
  </si>
  <si>
    <t>KF3:-</t>
  </si>
  <si>
    <t>KF3-KF2+AF2-AF3</t>
  </si>
  <si>
    <t>C Dum</t>
  </si>
  <si>
    <t>C Dum+CF3-AF3+AF2+KF2-K Dum</t>
  </si>
  <si>
    <t>A Dum</t>
  </si>
  <si>
    <t>A Dum-AF2+KF2-K Dum</t>
  </si>
  <si>
    <t>All open squares zero or positive; distribution can be considered as optimum</t>
  </si>
  <si>
    <t>optimum allocation</t>
  </si>
  <si>
    <t>Total contribution</t>
  </si>
  <si>
    <t>ALTERNATIVE ANSWER</t>
  </si>
  <si>
    <t>INITIAL SOLUSION - NORTH WEST CORNER METHOD</t>
  </si>
  <si>
    <t>CONTRIBUTION</t>
  </si>
  <si>
    <t>KF1</t>
  </si>
  <si>
    <t>KF1-CF1+CF2-KF2</t>
  </si>
  <si>
    <t>AF1</t>
  </si>
  <si>
    <t>AF1-AF3+KF3-KF2+CF2-CF1</t>
  </si>
  <si>
    <t>AF2</t>
  </si>
  <si>
    <t>AF2-KF2+KF3-AF3</t>
  </si>
  <si>
    <t>CF3</t>
  </si>
  <si>
    <t>CF3-CF2+KF2-KF3</t>
  </si>
  <si>
    <t>C Dum-CF2+KF2-KF3+AF3-A Dum</t>
  </si>
  <si>
    <t>K Dum</t>
  </si>
  <si>
    <t>K Dum-KF3+AF3-A Dum</t>
  </si>
  <si>
    <t>CONTRI'N CAN BE INCREASED BY ALLOCATING 5000 TO KF1</t>
  </si>
  <si>
    <t>CONT'N</t>
  </si>
  <si>
    <t>CF3-CF1+KF1-KF3</t>
  </si>
  <si>
    <t>KF2</t>
  </si>
  <si>
    <t>KF2-CF2+CF1-KF1</t>
  </si>
  <si>
    <t>AF1-AF3+KF3-KF1</t>
  </si>
  <si>
    <t>AF2-AF3+KF3-KF1+CF1-CF2</t>
  </si>
  <si>
    <t>C Dum-CF1+KF1-KF3+AF3-A Dum</t>
  </si>
  <si>
    <t>K DUM-KF3+AF3-A Dum</t>
  </si>
  <si>
    <t>CONTRI'N CAN BE INCREASED BY ALLOCATING 5000 TO CF3</t>
  </si>
  <si>
    <t>KF2-CF2+C Dum-A Dum+AF3-KF3</t>
  </si>
  <si>
    <t>CF1</t>
  </si>
  <si>
    <t>CF1-KF1+KF3-AF3+A Dum-C Dum</t>
  </si>
  <si>
    <t>CF3-C Dum+A Dum-AF3</t>
  </si>
  <si>
    <t>AF1-KF1+KF3-AF3</t>
  </si>
  <si>
    <t>AF2-CF2+C Dum-A Dum</t>
  </si>
  <si>
    <t>CONTRI'N CAN BE INCREASED BY ALLOCATING 3000 TO KF2</t>
  </si>
  <si>
    <t>CF1-KF1+KF2-CF2</t>
  </si>
  <si>
    <t>K Dum-KF2+CF2-C Dum</t>
  </si>
  <si>
    <t>A Dum-AF3+KF3-KF2+CF2-C Dum</t>
  </si>
  <si>
    <t>CONTRI'N CAN BE INCREASED BY ALLOCATING 4000 TO CF3</t>
  </si>
  <si>
    <t>KF3</t>
  </si>
  <si>
    <t>KF3-KF2+CF2-CF3</t>
  </si>
  <si>
    <t>AF1-KF1+KF2-CF2+CF3-AF3</t>
  </si>
  <si>
    <t>AF2-CF2+CF3-AF3</t>
  </si>
  <si>
    <t>A Dum-AF3+CF3-C Dum</t>
  </si>
  <si>
    <t>CONTRI'N CAN BE INCREASED BY ALLOCATING 4000 TO AF1</t>
  </si>
  <si>
    <t>CF2</t>
  </si>
  <si>
    <t>CF2-KF2+KF1-AF1+AF3-CF3</t>
  </si>
  <si>
    <t>KF3-KF1+AF1-AF3</t>
  </si>
  <si>
    <t>K Dum-KF1+AF1-AF3+CF3-C Dum</t>
  </si>
  <si>
    <t>AF2-AF1+KF1-KF2</t>
  </si>
  <si>
    <t>INITIAL SOLUSION - VOGEL'S APPROXIMATION METHOD</t>
  </si>
  <si>
    <t>RIM VALUES FOR ROWS AND COLUMNS</t>
  </si>
  <si>
    <t>ROW</t>
  </si>
  <si>
    <t>RIM VALUE</t>
  </si>
  <si>
    <t>COLUMN</t>
  </si>
  <si>
    <t>-180--180 = 0</t>
  </si>
  <si>
    <t>-230--220=-10</t>
  </si>
  <si>
    <t>-220--190=-30</t>
  </si>
  <si>
    <t>-200--190=-10</t>
  </si>
  <si>
    <t>-230--200=-30</t>
  </si>
  <si>
    <t>-180--170=-10</t>
  </si>
  <si>
    <t>ALLOCATION: SELECT LARGEST RIM VALUE AND LOWEST COST SQUARE</t>
  </si>
  <si>
    <t>Mximum allocation to AF1</t>
  </si>
  <si>
    <t>WITHOUT CONSIDERING COLUMN F1, COMPUTE RIM VALUE</t>
  </si>
  <si>
    <t>-190--160=-30</t>
  </si>
  <si>
    <t>-200--180=-20</t>
  </si>
  <si>
    <t>Mximum allocation to KF2</t>
  </si>
  <si>
    <t>WITHOUT CONSIDERING COLUMN F1 and F2, COMPUTE RIM VALUE</t>
  </si>
  <si>
    <t>AF3</t>
  </si>
  <si>
    <t>Mximum allocation to AF3</t>
  </si>
  <si>
    <t>WITHOUT CONSIDERING COLUMN F1, F2 AND ROW A, COMPUTE RIM VALUE</t>
  </si>
  <si>
    <t>-170--160=-10</t>
  </si>
  <si>
    <t>Mximum allocation to CF3</t>
  </si>
  <si>
    <t>allocate rest  based on supply demand constrins</t>
  </si>
  <si>
    <t>CF2-C DUM+K DUM-KF2</t>
  </si>
  <si>
    <t>KF1-AF1+AF3-CF3+C DUM-K DUM</t>
  </si>
  <si>
    <t>KF3-CF3+C DUM-K DUM</t>
  </si>
  <si>
    <t>AF2-AF3+CF3-C DUM+K DUM-KF2</t>
  </si>
  <si>
    <t>A DUM</t>
  </si>
  <si>
    <t>A DUM-AF3-CF3+C DUM</t>
  </si>
  <si>
    <t>Prob.</t>
  </si>
  <si>
    <t xml:space="preserve">Expected </t>
  </si>
  <si>
    <t>Value</t>
  </si>
  <si>
    <t>Per pack contribution</t>
  </si>
  <si>
    <t>Selling price</t>
  </si>
  <si>
    <t>400*300</t>
  </si>
  <si>
    <t>Variable Cost</t>
  </si>
  <si>
    <t>150*20</t>
  </si>
  <si>
    <t>200*20</t>
  </si>
  <si>
    <t>Contrib'n</t>
  </si>
  <si>
    <t>550*100</t>
  </si>
  <si>
    <t>600*100</t>
  </si>
  <si>
    <t>Revenue - vc</t>
  </si>
  <si>
    <t>400*300  =</t>
  </si>
  <si>
    <t>450*300</t>
  </si>
  <si>
    <t>50*20       =</t>
  </si>
  <si>
    <t>100*20</t>
  </si>
  <si>
    <t>450*100 =</t>
  </si>
  <si>
    <t>500*300</t>
  </si>
  <si>
    <t>50*20</t>
  </si>
  <si>
    <t>500*100</t>
  </si>
  <si>
    <t>550*300</t>
  </si>
  <si>
    <t>1) Number of pack to be produced</t>
  </si>
  <si>
    <t>( At    Highest contribution</t>
  </si>
  <si>
    <t>d)</t>
  </si>
  <si>
    <t>Computation value of perfect information</t>
  </si>
  <si>
    <t>Qty</t>
  </si>
  <si>
    <t>contrinbution at which demand          = supply</t>
  </si>
  <si>
    <t>Maximum cont'n if perfect info avail.</t>
  </si>
  <si>
    <t>Present contribution</t>
  </si>
  <si>
    <t>Value of additional info</t>
  </si>
  <si>
    <t>Therefore,maximum amount that can be paid</t>
  </si>
  <si>
    <t>Rs. 5, 000</t>
  </si>
  <si>
    <t xml:space="preserve">    take actions to improve efficiencies in manufacturing process.</t>
  </si>
  <si>
    <t xml:space="preserve">    Therefore target costing considers efficiencies in designing stage and kizen costing</t>
  </si>
  <si>
    <t>2)  Target costing mainly product oriented and kaizen costing mainly process oriented.</t>
  </si>
  <si>
    <t xml:space="preserve">     is used at the manufacturing stage</t>
  </si>
  <si>
    <t>1) Target costing is used at the designing stage of the product life cycle and kizen costing</t>
  </si>
  <si>
    <t>the end user.</t>
  </si>
  <si>
    <t xml:space="preserve">eliminate those so that maintain lean operating system thus creating value to </t>
  </si>
  <si>
    <t xml:space="preserve">practices etc. which does not create value to the end user and take effort collectively to </t>
  </si>
  <si>
    <t>In the process of creating value to the customer, Kaizen concepts identify activities</t>
  </si>
  <si>
    <t xml:space="preserve">4) Could improve reliability of information supervision by </t>
  </si>
  <si>
    <t xml:space="preserve">     on delaying invoices</t>
  </si>
  <si>
    <t xml:space="preserve">3) Invoices can be raised with the delivery.  Therefore no customer complains </t>
  </si>
  <si>
    <t xml:space="preserve">     can be passed to customers to protect the market.</t>
  </si>
  <si>
    <t>2) Fixed cost could be saved by combining head office operation.  That savings</t>
  </si>
  <si>
    <t>1) Close supervision by top management help to improve efficiencies</t>
  </si>
  <si>
    <t>Staff cost also to some extent</t>
  </si>
  <si>
    <t>Utility</t>
  </si>
  <si>
    <t>Rent</t>
  </si>
  <si>
    <t>very efficient manner so that to over come above issues.</t>
  </si>
  <si>
    <t xml:space="preserve">and combine the similar activities head office and factory presently doing </t>
  </si>
  <si>
    <t>the head office;</t>
  </si>
  <si>
    <t xml:space="preserve">for similar activities is an inefficient cost escalating operation.  Therefore  they can close </t>
  </si>
  <si>
    <t>High fashions is a medium scale manufacturing company.  Maintenance of head office</t>
  </si>
  <si>
    <t>5) Prices are not compitive in the market</t>
  </si>
  <si>
    <t>4) Increasing waste</t>
  </si>
  <si>
    <t>3)  No proper supervision in factory operation</t>
  </si>
  <si>
    <t>2)  Customer complains on delaying invoices and as a result delay the collections</t>
  </si>
  <si>
    <t>1)  Both Head office and factory do similar activities</t>
  </si>
  <si>
    <t>quality, speed and servises</t>
  </si>
  <si>
    <t xml:space="preserve">Radical redesign of business processes to achieve dramatic improvements in cost, </t>
  </si>
  <si>
    <t>(b)</t>
  </si>
  <si>
    <t>Answer No. 03</t>
  </si>
  <si>
    <t>Answer No. 04</t>
  </si>
  <si>
    <t>Answer No. 05</t>
  </si>
  <si>
    <t>Answer No. 06</t>
  </si>
  <si>
    <t>Answer No. 02</t>
  </si>
  <si>
    <t>Because performance of managers and staff is assessed based on the company's/ divisional profit and always each company/division try to maximize their profits. Finally this will lead to dilution in market share due to high price quoted by each company/division.</t>
  </si>
  <si>
    <t>Profit</t>
  </si>
  <si>
    <t>Transfer at full cost + 10%</t>
  </si>
  <si>
    <t>No. of pairs</t>
  </si>
  <si>
    <t>T.P</t>
  </si>
  <si>
    <t>Com. A</t>
  </si>
  <si>
    <t>Com. A Profit</t>
  </si>
  <si>
    <t>Com B Profit</t>
  </si>
  <si>
    <t>(248,000)</t>
  </si>
  <si>
    <t>(240+240) x 110% = 528</t>
  </si>
  <si>
    <t xml:space="preserve">(240+120) x 110% = 396 </t>
  </si>
  <si>
    <t>(240+80) x 110% = 352</t>
  </si>
  <si>
    <t>(16000)</t>
  </si>
  <si>
    <t>(240+60) x 110% = 330</t>
  </si>
  <si>
    <t>100,000</t>
  </si>
  <si>
    <t>(240+78) x 110% = 349.8</t>
  </si>
  <si>
    <t>51,000</t>
  </si>
  <si>
    <t>Company A will select 5,000 paris</t>
  </si>
  <si>
    <t>Company B will select 4,000 paris</t>
  </si>
  <si>
    <t>Transfer at marginal cost (Rs. 240 p.a.)</t>
  </si>
  <si>
    <t>Company B profit</t>
  </si>
  <si>
    <t>(10,000)</t>
  </si>
  <si>
    <t>SP 400 cont</t>
  </si>
  <si>
    <t>SP350 Cont</t>
  </si>
  <si>
    <t>(200,000)</t>
  </si>
  <si>
    <t>(60,000)</t>
  </si>
  <si>
    <t>(160,000)</t>
  </si>
  <si>
    <t>(70,000)</t>
  </si>
  <si>
    <t>(40,000)</t>
  </si>
  <si>
    <t>Copyright Reserved</t>
  </si>
  <si>
    <t>(132,000)</t>
  </si>
  <si>
    <t>Group:</t>
  </si>
  <si>
    <t>Optimal production is 4,000 units: selling price 400 per pair</t>
  </si>
  <si>
    <t>Full cost+10%is acceptable to both cos</t>
  </si>
  <si>
    <t>do</t>
  </si>
  <si>
    <t>240,000loss</t>
  </si>
  <si>
    <t>390,000loss</t>
  </si>
  <si>
    <t xml:space="preserve"> do</t>
  </si>
  <si>
    <t>companyAis at aloss andtherefore willnot have an optimum level-1/2mark</t>
  </si>
  <si>
    <t>companyB optimum level6000pairs-1mark</t>
  </si>
  <si>
    <t xml:space="preserve"> d</t>
  </si>
  <si>
    <t>Reduce the tax liability as a group by way of reducing tax payment in high tax rate countries and accumulate more profits in low tax rate countries.</t>
  </si>
  <si>
    <t>Project isfeasible as it has higher IRR than WACC</t>
  </si>
  <si>
    <t>Critical path - A -B - F - I - K - L - M</t>
  </si>
  <si>
    <t>64 weeks</t>
  </si>
  <si>
    <t xml:space="preserve"> Stretching the time for activity C from 3 weeks to 5 weeks will not have any impact on the critical path.total float will be reduced to25 weeks(from 27weeks)</t>
  </si>
  <si>
    <t>B reduction of time- This will shorten the project duration by one week.</t>
  </si>
  <si>
    <t>E reduction of time- This will not have any impact on critical path (already have slack of 27 weeks). But TF will be reduced to 25 weeks.</t>
  </si>
  <si>
    <t xml:space="preserve"> acceptable to both companies-</t>
  </si>
  <si>
    <t>(a)</t>
  </si>
  <si>
    <t>Answer No. 01</t>
  </si>
  <si>
    <t>Part B</t>
  </si>
  <si>
    <t>(c)</t>
  </si>
  <si>
    <t>Revised overall project completion time is 63 weeks. Critical path would be same as the original network diagram.</t>
  </si>
  <si>
    <t>(d)</t>
  </si>
  <si>
    <t>c)</t>
  </si>
  <si>
    <t>(I)</t>
  </si>
  <si>
    <t>(II)</t>
  </si>
  <si>
    <t>(III)</t>
  </si>
  <si>
    <t>a)</t>
  </si>
  <si>
    <t>b)</t>
  </si>
  <si>
    <t xml:space="preserve">a) </t>
  </si>
  <si>
    <t>b)                 prob at least 500=.1+.15+.4=.65</t>
  </si>
  <si>
    <t xml:space="preserve">  most likely prob .4 qty500</t>
  </si>
  <si>
    <t>MOCK EXAMINATION - DECEMBER 2013</t>
  </si>
  <si>
    <t xml:space="preserve">Strategic Management Accounting </t>
  </si>
  <si>
    <r>
      <t xml:space="preserve">1.      </t>
    </r>
    <r>
      <rPr>
        <sz val="24"/>
        <rFont val="Calibri"/>
        <family val="2"/>
      </rPr>
      <t>Preceding activity chart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</si>
</sst>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68">
    <font>
      <sz val="10"/>
      <name val="Arial"/>
      <family val="0"/>
    </font>
    <font>
      <sz val="11"/>
      <color indexed="8"/>
      <name val="Calibri"/>
      <family val="2"/>
    </font>
    <font>
      <u val="single"/>
      <sz val="10"/>
      <color indexed="12"/>
      <name val="Arial"/>
      <family val="2"/>
    </font>
    <font>
      <sz val="24"/>
      <name val="Times New Roman"/>
      <family val="1"/>
    </font>
    <font>
      <sz val="24"/>
      <name val="Calibri"/>
      <family val="2"/>
    </font>
    <font>
      <sz val="24"/>
      <name val="Arial"/>
      <family val="2"/>
    </font>
    <font>
      <b/>
      <sz val="24"/>
      <name val="Times New Roman"/>
      <family val="1"/>
    </font>
    <font>
      <b/>
      <u val="single"/>
      <sz val="24"/>
      <name val="Times New Roman"/>
      <family val="1"/>
    </font>
    <font>
      <b/>
      <u val="single"/>
      <sz val="24"/>
      <name val="Calibri"/>
      <family val="2"/>
    </font>
    <font>
      <b/>
      <sz val="24"/>
      <name val="Calibri"/>
      <family val="2"/>
    </font>
    <font>
      <u val="single"/>
      <sz val="24"/>
      <color indexed="12"/>
      <name val="Arial"/>
      <family val="2"/>
    </font>
    <font>
      <b/>
      <sz val="24"/>
      <color indexed="8"/>
      <name val="Calibri"/>
      <family val="2"/>
    </font>
    <font>
      <sz val="24"/>
      <color indexed="8"/>
      <name val="Calibri"/>
      <family val="2"/>
    </font>
    <font>
      <b/>
      <sz val="24"/>
      <color indexed="10"/>
      <name val="Calibri"/>
      <family val="2"/>
    </font>
    <font>
      <sz val="24"/>
      <color indexed="10"/>
      <name val="Calibri"/>
      <family val="2"/>
    </font>
    <font>
      <u val="single"/>
      <sz val="24"/>
      <name val="Calibri"/>
      <family val="2"/>
    </font>
    <font>
      <sz val="24"/>
      <color indexed="56"/>
      <name val="Calibri"/>
      <family val="2"/>
    </font>
    <font>
      <b/>
      <sz val="24"/>
      <color indexed="56"/>
      <name val="Calibri"/>
      <family val="2"/>
    </font>
    <font>
      <b/>
      <u val="single"/>
      <sz val="24"/>
      <color indexed="8"/>
      <name val="Calibri"/>
      <family val="2"/>
    </font>
    <font>
      <b/>
      <i/>
      <sz val="2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8"/>
      <color indexed="8"/>
      <name val="Calibri"/>
      <family val="0"/>
    </font>
    <font>
      <sz val="5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24"/>
      <color theme="10"/>
      <name val="Arial"/>
      <family val="2"/>
    </font>
    <font>
      <b/>
      <sz val="24"/>
      <color theme="1"/>
      <name val="Calibri"/>
      <family val="2"/>
    </font>
    <font>
      <sz val="24"/>
      <color theme="1"/>
      <name val="Calibri"/>
      <family val="2"/>
    </font>
    <font>
      <b/>
      <sz val="24"/>
      <color rgb="FFFF0000"/>
      <name val="Calibri"/>
      <family val="2"/>
    </font>
    <font>
      <sz val="24"/>
      <color rgb="FFFF0000"/>
      <name val="Calibri"/>
      <family val="2"/>
    </font>
    <font>
      <b/>
      <sz val="24"/>
      <color rgb="FF000000"/>
      <name val="Calibri"/>
      <family val="2"/>
    </font>
    <font>
      <sz val="24"/>
      <color rgb="FF000000"/>
      <name val="Calibri"/>
      <family val="2"/>
    </font>
    <font>
      <sz val="24"/>
      <color rgb="FF0E2233"/>
      <name val="Calibri"/>
      <family val="2"/>
    </font>
    <font>
      <b/>
      <sz val="24"/>
      <color rgb="FF0E2233"/>
      <name val="Calibri"/>
      <family val="2"/>
    </font>
    <font>
      <b/>
      <u val="single"/>
      <sz val="24"/>
      <color theme="1"/>
      <name val="Calibri"/>
      <family val="2"/>
    </font>
    <font>
      <b/>
      <i/>
      <sz val="2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style="double"/>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3">
    <xf numFmtId="0" fontId="0" fillId="0" borderId="0" xfId="0" applyAlignment="1">
      <alignment/>
    </xf>
    <xf numFmtId="0" fontId="3" fillId="0" borderId="0" xfId="0" applyFont="1" applyAlignment="1">
      <alignment vertical="center"/>
    </xf>
    <xf numFmtId="0" fontId="4" fillId="33" borderId="0" xfId="0" applyFont="1" applyFill="1" applyAlignment="1">
      <alignment/>
    </xf>
    <xf numFmtId="0" fontId="4" fillId="0" borderId="0" xfId="0" applyFont="1" applyFill="1" applyAlignment="1">
      <alignment/>
    </xf>
    <xf numFmtId="0" fontId="5" fillId="0" borderId="0" xfId="0" applyFont="1" applyAlignment="1">
      <alignment/>
    </xf>
    <xf numFmtId="0" fontId="6" fillId="0" borderId="0" xfId="0" applyFont="1" applyAlignment="1">
      <alignment vertical="center"/>
    </xf>
    <xf numFmtId="0" fontId="7" fillId="0" borderId="0" xfId="0" applyFont="1" applyAlignment="1">
      <alignment vertical="center"/>
    </xf>
    <xf numFmtId="0" fontId="8" fillId="33" borderId="0" xfId="0" applyFont="1" applyFill="1" applyAlignment="1">
      <alignment/>
    </xf>
    <xf numFmtId="0" fontId="9" fillId="33" borderId="0" xfId="0" applyFont="1" applyFill="1" applyAlignment="1">
      <alignment/>
    </xf>
    <xf numFmtId="0" fontId="4" fillId="34" borderId="10" xfId="0" applyFont="1" applyFill="1" applyBorder="1" applyAlignment="1">
      <alignment/>
    </xf>
    <xf numFmtId="0" fontId="9" fillId="34" borderId="10" xfId="0" applyFont="1" applyFill="1" applyBorder="1" applyAlignment="1">
      <alignment horizontal="center" vertical="center"/>
    </xf>
    <xf numFmtId="0" fontId="4" fillId="34" borderId="0" xfId="0" applyFont="1" applyFill="1" applyAlignment="1">
      <alignment/>
    </xf>
    <xf numFmtId="164" fontId="4" fillId="33" borderId="0" xfId="42" applyNumberFormat="1" applyFont="1" applyFill="1" applyAlignment="1">
      <alignment/>
    </xf>
    <xf numFmtId="0" fontId="4" fillId="34" borderId="0" xfId="0" applyFont="1" applyFill="1" applyBorder="1" applyAlignment="1">
      <alignment/>
    </xf>
    <xf numFmtId="164" fontId="4" fillId="33" borderId="0" xfId="0" applyNumberFormat="1" applyFont="1" applyFill="1" applyAlignment="1">
      <alignment/>
    </xf>
    <xf numFmtId="43" fontId="4" fillId="0" borderId="0" xfId="42" applyFont="1" applyFill="1" applyAlignment="1">
      <alignment/>
    </xf>
    <xf numFmtId="0" fontId="9" fillId="34" borderId="0" xfId="0" applyFont="1" applyFill="1" applyBorder="1" applyAlignment="1">
      <alignment/>
    </xf>
    <xf numFmtId="164" fontId="9" fillId="33" borderId="10" xfId="0" applyNumberFormat="1" applyFont="1" applyFill="1" applyBorder="1" applyAlignment="1">
      <alignment/>
    </xf>
    <xf numFmtId="0" fontId="9" fillId="33" borderId="0" xfId="0" applyFont="1" applyFill="1" applyBorder="1" applyAlignment="1">
      <alignment/>
    </xf>
    <xf numFmtId="0" fontId="4" fillId="33" borderId="0" xfId="0" applyFont="1" applyFill="1" applyBorder="1" applyAlignment="1">
      <alignment/>
    </xf>
    <xf numFmtId="164" fontId="4" fillId="33" borderId="0" xfId="42" applyNumberFormat="1" applyFont="1" applyFill="1" applyBorder="1" applyAlignment="1">
      <alignment/>
    </xf>
    <xf numFmtId="164" fontId="9" fillId="33" borderId="0" xfId="42" applyNumberFormat="1" applyFont="1" applyFill="1" applyBorder="1" applyAlignment="1">
      <alignment/>
    </xf>
    <xf numFmtId="0" fontId="57" fillId="0" borderId="0" xfId="53" applyFont="1" applyFill="1" applyAlignment="1" applyProtection="1">
      <alignment/>
      <protection/>
    </xf>
    <xf numFmtId="164" fontId="9" fillId="33" borderId="10" xfId="42" applyNumberFormat="1" applyFont="1" applyFill="1" applyBorder="1" applyAlignment="1">
      <alignment/>
    </xf>
    <xf numFmtId="164" fontId="9" fillId="33" borderId="0" xfId="0" applyNumberFormat="1" applyFont="1" applyFill="1" applyAlignment="1">
      <alignment/>
    </xf>
    <xf numFmtId="0" fontId="9" fillId="33" borderId="10" xfId="0" applyFont="1" applyFill="1" applyBorder="1" applyAlignment="1">
      <alignment/>
    </xf>
    <xf numFmtId="9" fontId="4" fillId="33" borderId="0" xfId="0" applyNumberFormat="1" applyFont="1" applyFill="1" applyAlignment="1">
      <alignment/>
    </xf>
    <xf numFmtId="49" fontId="4" fillId="33" borderId="0" xfId="0" applyNumberFormat="1" applyFont="1" applyFill="1" applyAlignment="1">
      <alignment horizontal="right"/>
    </xf>
    <xf numFmtId="10" fontId="4" fillId="33" borderId="0" xfId="62" applyNumberFormat="1" applyFont="1" applyFill="1" applyAlignment="1">
      <alignment/>
    </xf>
    <xf numFmtId="10" fontId="9" fillId="33" borderId="0" xfId="62" applyNumberFormat="1" applyFont="1" applyFill="1" applyAlignment="1">
      <alignment/>
    </xf>
    <xf numFmtId="9" fontId="4" fillId="33" borderId="0" xfId="62" applyFont="1" applyFill="1" applyAlignment="1">
      <alignment/>
    </xf>
    <xf numFmtId="2" fontId="4" fillId="33" borderId="0" xfId="0" applyNumberFormat="1" applyFont="1" applyFill="1" applyAlignment="1">
      <alignment/>
    </xf>
    <xf numFmtId="0" fontId="7" fillId="33" borderId="0" xfId="0" applyFont="1" applyFill="1" applyAlignment="1">
      <alignment horizontal="center"/>
    </xf>
    <xf numFmtId="0" fontId="4" fillId="33" borderId="0" xfId="0" applyFont="1" applyFill="1" applyAlignment="1">
      <alignment horizontal="center"/>
    </xf>
    <xf numFmtId="49" fontId="9" fillId="33" borderId="0" xfId="0" applyNumberFormat="1" applyFont="1" applyFill="1" applyAlignment="1">
      <alignment horizontal="center"/>
    </xf>
    <xf numFmtId="0" fontId="9" fillId="0" borderId="0" xfId="0" applyFont="1" applyAlignment="1">
      <alignment/>
    </xf>
    <xf numFmtId="0" fontId="9" fillId="33" borderId="0" xfId="0" applyFont="1" applyFill="1" applyAlignment="1">
      <alignment horizontal="right"/>
    </xf>
    <xf numFmtId="164" fontId="9" fillId="33" borderId="0" xfId="42" applyNumberFormat="1" applyFont="1" applyFill="1" applyAlignment="1">
      <alignment/>
    </xf>
    <xf numFmtId="0" fontId="9" fillId="33" borderId="0" xfId="0" applyFont="1" applyFill="1" applyAlignment="1">
      <alignment horizontal="center"/>
    </xf>
    <xf numFmtId="0" fontId="4" fillId="33" borderId="0" xfId="0" applyFont="1" applyFill="1" applyAlignment="1">
      <alignment horizontal="right"/>
    </xf>
    <xf numFmtId="3" fontId="4" fillId="33" borderId="0" xfId="0" applyNumberFormat="1" applyFont="1" applyFill="1" applyAlignment="1">
      <alignment/>
    </xf>
    <xf numFmtId="0" fontId="4" fillId="0" borderId="0" xfId="0" applyFont="1" applyFill="1" applyBorder="1" applyAlignment="1">
      <alignment/>
    </xf>
    <xf numFmtId="3" fontId="4" fillId="0" borderId="0" xfId="0" applyNumberFormat="1" applyFont="1" applyFill="1" applyBorder="1" applyAlignment="1" quotePrefix="1">
      <alignment horizontal="center"/>
    </xf>
    <xf numFmtId="0" fontId="4" fillId="0" borderId="0" xfId="0" applyFont="1" applyFill="1" applyBorder="1" applyAlignment="1" quotePrefix="1">
      <alignment horizontal="center"/>
    </xf>
    <xf numFmtId="164" fontId="4" fillId="0" borderId="0" xfId="42" applyNumberFormat="1" applyFont="1" applyFill="1" applyBorder="1" applyAlignment="1">
      <alignment/>
    </xf>
    <xf numFmtId="164" fontId="4" fillId="0" borderId="0" xfId="42" applyNumberFormat="1" applyFont="1" applyFill="1" applyAlignment="1">
      <alignment/>
    </xf>
    <xf numFmtId="0" fontId="4" fillId="33" borderId="0" xfId="0" applyFont="1" applyFill="1" applyAlignment="1" quotePrefix="1">
      <alignment horizontal="right"/>
    </xf>
    <xf numFmtId="3" fontId="9" fillId="33" borderId="0" xfId="0" applyNumberFormat="1" applyFont="1" applyFill="1" applyAlignment="1">
      <alignment horizontal="center"/>
    </xf>
    <xf numFmtId="164" fontId="9" fillId="0" borderId="0" xfId="42" applyNumberFormat="1" applyFont="1" applyFill="1" applyAlignment="1">
      <alignment horizontal="center"/>
    </xf>
    <xf numFmtId="3" fontId="4" fillId="33" borderId="0" xfId="0" applyNumberFormat="1" applyFont="1" applyFill="1" applyAlignment="1">
      <alignment horizontal="center"/>
    </xf>
    <xf numFmtId="3" fontId="4" fillId="33" borderId="0" xfId="0" applyNumberFormat="1" applyFont="1" applyFill="1" applyAlignment="1" quotePrefix="1">
      <alignment horizontal="center"/>
    </xf>
    <xf numFmtId="164" fontId="4" fillId="0" borderId="0" xfId="42" applyNumberFormat="1" applyFont="1" applyFill="1" applyAlignment="1" quotePrefix="1">
      <alignment horizontal="right" vertical="center"/>
    </xf>
    <xf numFmtId="164" fontId="4" fillId="0" borderId="0" xfId="42" applyNumberFormat="1" applyFont="1" applyFill="1" applyAlignment="1">
      <alignment horizontal="right" vertical="center"/>
    </xf>
    <xf numFmtId="3" fontId="4" fillId="33" borderId="0" xfId="0" applyNumberFormat="1" applyFont="1" applyFill="1" applyAlignment="1">
      <alignment horizontal="right"/>
    </xf>
    <xf numFmtId="0" fontId="58" fillId="33" borderId="0" xfId="58" applyFont="1" applyFill="1">
      <alignment/>
      <protection/>
    </xf>
    <xf numFmtId="0" fontId="59" fillId="33" borderId="0" xfId="58" applyFont="1" applyFill="1">
      <alignment/>
      <protection/>
    </xf>
    <xf numFmtId="0" fontId="9" fillId="33" borderId="0" xfId="0" applyFont="1" applyFill="1" applyAlignment="1">
      <alignment horizontal="left" vertical="center" indent="4"/>
    </xf>
    <xf numFmtId="0" fontId="9" fillId="34"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Alignment="1">
      <alignment vertical="center"/>
    </xf>
    <xf numFmtId="0" fontId="60" fillId="33" borderId="0" xfId="58" applyFont="1" applyFill="1">
      <alignment/>
      <protection/>
    </xf>
    <xf numFmtId="0" fontId="59" fillId="33" borderId="0" xfId="58" applyFont="1" applyFill="1" applyAlignment="1">
      <alignment horizontal="left"/>
      <protection/>
    </xf>
    <xf numFmtId="0" fontId="59" fillId="33" borderId="0" xfId="58" applyFont="1" applyFill="1" applyAlignment="1">
      <alignment horizontal="center"/>
      <protection/>
    </xf>
    <xf numFmtId="0" fontId="59" fillId="33" borderId="0" xfId="58" applyFont="1" applyFill="1" applyAlignment="1">
      <alignment horizontal="right"/>
      <protection/>
    </xf>
    <xf numFmtId="0" fontId="58" fillId="34" borderId="10" xfId="58" applyFont="1" applyFill="1" applyBorder="1" applyAlignment="1">
      <alignment horizontal="center" vertical="center" wrapText="1"/>
      <protection/>
    </xf>
    <xf numFmtId="0" fontId="58" fillId="0" borderId="0" xfId="58" applyFont="1" applyFill="1" applyBorder="1" applyAlignment="1">
      <alignment horizontal="center"/>
      <protection/>
    </xf>
    <xf numFmtId="0" fontId="58" fillId="33" borderId="0" xfId="58" applyFont="1" applyFill="1" applyBorder="1" applyAlignment="1">
      <alignment horizontal="center"/>
      <protection/>
    </xf>
    <xf numFmtId="0" fontId="61" fillId="33" borderId="0" xfId="58" applyFont="1" applyFill="1">
      <alignment/>
      <protection/>
    </xf>
    <xf numFmtId="0" fontId="59" fillId="33" borderId="0" xfId="58" applyFont="1" applyFill="1" applyBorder="1" applyAlignment="1">
      <alignment horizontal="center" vertical="center" wrapText="1"/>
      <protection/>
    </xf>
    <xf numFmtId="0" fontId="59" fillId="33" borderId="0" xfId="58" applyFont="1" applyFill="1" applyBorder="1" applyAlignment="1">
      <alignment horizontal="center"/>
      <protection/>
    </xf>
    <xf numFmtId="0" fontId="59" fillId="33" borderId="0" xfId="58" applyFont="1" applyFill="1" applyBorder="1">
      <alignment/>
      <protection/>
    </xf>
    <xf numFmtId="0" fontId="59" fillId="33" borderId="11" xfId="58" applyFont="1" applyFill="1" applyBorder="1" applyAlignment="1">
      <alignment horizontal="center" vertical="center" wrapText="1"/>
      <protection/>
    </xf>
    <xf numFmtId="0" fontId="59" fillId="33" borderId="11" xfId="58" applyFont="1" applyFill="1" applyBorder="1">
      <alignment/>
      <protection/>
    </xf>
    <xf numFmtId="0" fontId="4" fillId="33" borderId="0" xfId="0" applyFont="1" applyFill="1" applyAlignment="1">
      <alignment horizontal="left" vertical="center" indent="4"/>
    </xf>
    <xf numFmtId="0" fontId="62" fillId="34" borderId="10"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11" xfId="0" applyFont="1" applyFill="1" applyBorder="1" applyAlignment="1">
      <alignment horizontal="center" vertical="center"/>
    </xf>
    <xf numFmtId="0" fontId="8" fillId="33" borderId="0" xfId="0" applyFont="1" applyFill="1" applyBorder="1" applyAlignment="1">
      <alignment horizontal="center"/>
    </xf>
    <xf numFmtId="0" fontId="15" fillId="33" borderId="0" xfId="0" applyFont="1" applyFill="1" applyBorder="1" applyAlignment="1">
      <alignment/>
    </xf>
    <xf numFmtId="0" fontId="15" fillId="33" borderId="0" xfId="0" applyFont="1" applyFill="1" applyAlignment="1">
      <alignment/>
    </xf>
    <xf numFmtId="0" fontId="15" fillId="0"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9" fillId="34" borderId="10" xfId="0" applyFont="1" applyFill="1" applyBorder="1" applyAlignment="1">
      <alignment horizontal="left" vertical="center"/>
    </xf>
    <xf numFmtId="0" fontId="9" fillId="33" borderId="11" xfId="0" applyFont="1" applyFill="1" applyBorder="1" applyAlignment="1">
      <alignment/>
    </xf>
    <xf numFmtId="0" fontId="9" fillId="34" borderId="10" xfId="0" applyFont="1" applyFill="1" applyBorder="1" applyAlignment="1">
      <alignment/>
    </xf>
    <xf numFmtId="0" fontId="9" fillId="34" borderId="10" xfId="0" applyFont="1" applyFill="1" applyBorder="1" applyAlignment="1">
      <alignment horizontal="center"/>
    </xf>
    <xf numFmtId="0" fontId="9" fillId="33" borderId="11" xfId="0" applyFont="1" applyFill="1" applyBorder="1" applyAlignment="1">
      <alignment horizontal="center"/>
    </xf>
    <xf numFmtId="0" fontId="59" fillId="0" borderId="0" xfId="59" applyFont="1">
      <alignment/>
      <protection/>
    </xf>
    <xf numFmtId="0" fontId="66" fillId="0" borderId="0" xfId="59" applyFont="1">
      <alignment/>
      <protection/>
    </xf>
    <xf numFmtId="0" fontId="59" fillId="0" borderId="0" xfId="59" applyFont="1" applyAlignment="1">
      <alignment horizontal="center"/>
      <protection/>
    </xf>
    <xf numFmtId="0" fontId="59" fillId="0" borderId="0" xfId="59" applyFont="1" applyAlignment="1">
      <alignment horizontal="center" wrapText="1"/>
      <protection/>
    </xf>
    <xf numFmtId="0" fontId="59" fillId="0" borderId="12" xfId="59" applyFont="1" applyBorder="1">
      <alignment/>
      <protection/>
    </xf>
    <xf numFmtId="0" fontId="67" fillId="0" borderId="0" xfId="59" applyFont="1">
      <alignment/>
      <protection/>
    </xf>
    <xf numFmtId="0" fontId="59" fillId="0" borderId="0" xfId="59" applyFont="1" applyAlignment="1">
      <alignment wrapText="1"/>
      <protection/>
    </xf>
    <xf numFmtId="43" fontId="5" fillId="0" borderId="0" xfId="44" applyFont="1" applyAlignment="1">
      <alignment/>
    </xf>
    <xf numFmtId="164" fontId="59" fillId="0" borderId="0" xfId="59" applyNumberFormat="1" applyFont="1" applyBorder="1">
      <alignment/>
      <protection/>
    </xf>
    <xf numFmtId="0" fontId="59" fillId="0" borderId="13" xfId="59" applyFont="1" applyBorder="1">
      <alignment/>
      <protection/>
    </xf>
    <xf numFmtId="0" fontId="59" fillId="0" borderId="14" xfId="59" applyFont="1" applyBorder="1" applyAlignment="1">
      <alignment horizontal="center"/>
      <protection/>
    </xf>
    <xf numFmtId="0" fontId="59" fillId="0" borderId="15" xfId="59" applyFont="1" applyFill="1" applyBorder="1">
      <alignment/>
      <protection/>
    </xf>
    <xf numFmtId="0" fontId="59" fillId="0" borderId="14" xfId="59" applyFont="1" applyBorder="1">
      <alignment/>
      <protection/>
    </xf>
    <xf numFmtId="0" fontId="59" fillId="0" borderId="15" xfId="59" applyFont="1" applyBorder="1" applyAlignment="1">
      <alignment horizontal="left"/>
      <protection/>
    </xf>
    <xf numFmtId="0" fontId="59" fillId="0" borderId="14" xfId="59" applyFont="1" applyBorder="1" applyAlignment="1">
      <alignment horizontal="left"/>
      <protection/>
    </xf>
    <xf numFmtId="0" fontId="59" fillId="0" borderId="13" xfId="59" applyFont="1" applyBorder="1" applyAlignment="1">
      <alignment/>
      <protection/>
    </xf>
    <xf numFmtId="0" fontId="59" fillId="0" borderId="14" xfId="59" applyFont="1" applyBorder="1" applyAlignment="1">
      <alignment/>
      <protection/>
    </xf>
    <xf numFmtId="0" fontId="59" fillId="0" borderId="0" xfId="59" applyFont="1" quotePrefix="1">
      <alignment/>
      <protection/>
    </xf>
    <xf numFmtId="0" fontId="59" fillId="0" borderId="14" xfId="59" applyFont="1" applyBorder="1" applyAlignment="1">
      <alignment horizontal="right"/>
      <protection/>
    </xf>
    <xf numFmtId="0" fontId="59" fillId="0" borderId="13" xfId="59" applyFont="1" applyBorder="1" applyAlignment="1">
      <alignment horizontal="right"/>
      <protection/>
    </xf>
    <xf numFmtId="0" fontId="59" fillId="0" borderId="0" xfId="59" applyFont="1" applyBorder="1">
      <alignment/>
      <protection/>
    </xf>
    <xf numFmtId="0" fontId="59" fillId="0" borderId="0" xfId="59" applyFont="1" applyBorder="1" quotePrefix="1">
      <alignment/>
      <protection/>
    </xf>
    <xf numFmtId="0" fontId="59" fillId="0" borderId="0" xfId="59" applyFont="1" applyFill="1" applyBorder="1">
      <alignment/>
      <protection/>
    </xf>
    <xf numFmtId="0" fontId="59" fillId="0" borderId="0" xfId="59" applyFont="1" applyFill="1" applyBorder="1" applyAlignment="1">
      <alignment/>
      <protection/>
    </xf>
    <xf numFmtId="0" fontId="59" fillId="0" borderId="0" xfId="59" applyFont="1" applyBorder="1" applyAlignment="1">
      <alignment/>
      <protection/>
    </xf>
    <xf numFmtId="0" fontId="59" fillId="0" borderId="0" xfId="59" applyFont="1" applyBorder="1" applyAlignment="1">
      <alignment textRotation="91"/>
      <protection/>
    </xf>
    <xf numFmtId="0" fontId="59" fillId="0" borderId="0" xfId="59" applyFont="1" applyBorder="1" applyAlignment="1">
      <alignment horizontal="left" textRotation="91"/>
      <protection/>
    </xf>
    <xf numFmtId="0" fontId="59" fillId="0" borderId="0" xfId="59" applyFont="1" applyBorder="1" applyAlignment="1">
      <alignment horizontal="center"/>
      <protection/>
    </xf>
    <xf numFmtId="0" fontId="67" fillId="0" borderId="0" xfId="59" applyFont="1" applyBorder="1">
      <alignment/>
      <protection/>
    </xf>
    <xf numFmtId="0" fontId="59" fillId="0" borderId="0" xfId="59" applyFont="1" applyBorder="1" applyAlignment="1">
      <alignment horizontal="left"/>
      <protection/>
    </xf>
    <xf numFmtId="0" fontId="59" fillId="0" borderId="0" xfId="59" applyFont="1" applyBorder="1" applyAlignment="1">
      <alignment horizontal="right"/>
      <protection/>
    </xf>
    <xf numFmtId="43" fontId="59" fillId="0" borderId="0" xfId="59" applyNumberFormat="1" applyFont="1" applyBorder="1">
      <alignment/>
      <protection/>
    </xf>
    <xf numFmtId="43" fontId="5" fillId="0" borderId="0" xfId="44" applyFont="1" applyBorder="1" applyAlignment="1">
      <alignment/>
    </xf>
    <xf numFmtId="164" fontId="5" fillId="0" borderId="0" xfId="44" applyNumberFormat="1" applyFont="1" applyAlignment="1">
      <alignment/>
    </xf>
    <xf numFmtId="164" fontId="58" fillId="0" borderId="0" xfId="59" applyNumberFormat="1" applyFont="1">
      <alignment/>
      <protection/>
    </xf>
    <xf numFmtId="0" fontId="59" fillId="0" borderId="0" xfId="59" applyFont="1" applyAlignment="1">
      <alignment horizontal="left"/>
      <protection/>
    </xf>
    <xf numFmtId="0" fontId="59" fillId="0" borderId="12" xfId="59" applyFont="1" applyBorder="1" applyAlignment="1">
      <alignment/>
      <protection/>
    </xf>
    <xf numFmtId="0" fontId="58" fillId="0" borderId="0" xfId="59" applyFont="1">
      <alignment/>
      <protection/>
    </xf>
    <xf numFmtId="0" fontId="59" fillId="0" borderId="16" xfId="59" applyFont="1" applyBorder="1">
      <alignment/>
      <protection/>
    </xf>
    <xf numFmtId="164" fontId="67" fillId="0" borderId="16" xfId="44" applyNumberFormat="1" applyFont="1" applyBorder="1" applyAlignment="1">
      <alignment/>
    </xf>
    <xf numFmtId="164" fontId="5" fillId="0" borderId="16" xfId="44" applyNumberFormat="1" applyFont="1" applyBorder="1" applyAlignment="1">
      <alignment/>
    </xf>
    <xf numFmtId="0" fontId="59" fillId="0" borderId="13" xfId="59" applyFont="1" applyBorder="1" applyAlignment="1">
      <alignment horizontal="center"/>
      <protection/>
    </xf>
    <xf numFmtId="164" fontId="59" fillId="0" borderId="16" xfId="59" applyNumberFormat="1" applyFont="1" applyBorder="1">
      <alignment/>
      <protection/>
    </xf>
    <xf numFmtId="164" fontId="58" fillId="0" borderId="16" xfId="59" applyNumberFormat="1" applyFont="1" applyBorder="1">
      <alignment/>
      <protection/>
    </xf>
    <xf numFmtId="43" fontId="5" fillId="0" borderId="11" xfId="44" applyFont="1" applyBorder="1" applyAlignment="1">
      <alignment/>
    </xf>
    <xf numFmtId="43" fontId="59" fillId="0" borderId="12" xfId="59" applyNumberFormat="1" applyFont="1" applyBorder="1">
      <alignment/>
      <protection/>
    </xf>
    <xf numFmtId="164" fontId="59" fillId="0" borderId="12" xfId="59" applyNumberFormat="1" applyFont="1" applyBorder="1">
      <alignment/>
      <protection/>
    </xf>
    <xf numFmtId="0" fontId="59" fillId="0" borderId="16" xfId="59" applyFont="1" applyBorder="1" applyAlignment="1">
      <alignment horizontal="center"/>
      <protection/>
    </xf>
    <xf numFmtId="0" fontId="59" fillId="0" borderId="16" xfId="59" applyFont="1" applyBorder="1" applyAlignment="1">
      <alignment horizontal="center" wrapText="1"/>
      <protection/>
    </xf>
    <xf numFmtId="0" fontId="59" fillId="0" borderId="16" xfId="59" applyFont="1" applyBorder="1" applyAlignment="1">
      <alignment/>
      <protection/>
    </xf>
    <xf numFmtId="164" fontId="59" fillId="0" borderId="16" xfId="59" applyNumberFormat="1" applyFont="1" applyBorder="1" applyAlignment="1">
      <alignment/>
      <protection/>
    </xf>
    <xf numFmtId="0" fontId="66" fillId="0" borderId="0" xfId="59" applyFont="1" applyAlignment="1">
      <alignment horizontal="center"/>
      <protection/>
    </xf>
    <xf numFmtId="0" fontId="67" fillId="0" borderId="0" xfId="59" applyFont="1" applyAlignment="1">
      <alignment horizontal="center"/>
      <protection/>
    </xf>
    <xf numFmtId="0" fontId="4" fillId="33" borderId="0" xfId="0" applyFont="1" applyFill="1" applyAlignment="1">
      <alignment horizontal="left" wrapText="1"/>
    </xf>
    <xf numFmtId="0" fontId="4" fillId="33" borderId="0" xfId="0" applyFont="1" applyFill="1" applyAlignment="1">
      <alignment horizontal="left" vertical="center" wrapText="1"/>
    </xf>
    <xf numFmtId="0" fontId="9" fillId="33" borderId="0" xfId="0" applyFont="1" applyFill="1" applyAlignment="1">
      <alignment horizontal="left" vertical="center" wrapText="1"/>
    </xf>
    <xf numFmtId="0" fontId="4" fillId="33" borderId="0" xfId="0" applyFont="1" applyFill="1" applyAlignment="1">
      <alignment horizontal="justify" vertical="top" wrapText="1"/>
    </xf>
    <xf numFmtId="0" fontId="59" fillId="0" borderId="11" xfId="59" applyFont="1" applyBorder="1" applyAlignment="1">
      <alignment horizontal="center"/>
      <protection/>
    </xf>
    <xf numFmtId="0" fontId="59" fillId="0" borderId="17" xfId="59" applyFont="1" applyBorder="1" applyAlignment="1">
      <alignment horizontal="center" textRotation="91"/>
      <protection/>
    </xf>
    <xf numFmtId="0" fontId="59" fillId="0" borderId="13" xfId="59" applyFont="1" applyBorder="1" applyAlignment="1">
      <alignment horizontal="center"/>
      <protection/>
    </xf>
    <xf numFmtId="0" fontId="59" fillId="0" borderId="14" xfId="59" applyFont="1" applyBorder="1" applyAlignment="1">
      <alignment horizontal="center"/>
      <protection/>
    </xf>
    <xf numFmtId="0" fontId="59" fillId="0" borderId="13" xfId="59" applyFont="1" applyBorder="1" applyAlignment="1">
      <alignment horizontal="right"/>
      <protection/>
    </xf>
    <xf numFmtId="0" fontId="59" fillId="0" borderId="14" xfId="59" applyFont="1" applyBorder="1" applyAlignment="1">
      <alignment horizontal="right"/>
      <protection/>
    </xf>
    <xf numFmtId="0" fontId="66" fillId="0" borderId="0" xfId="59" applyFont="1" applyAlignment="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228600</xdr:rowOff>
    </xdr:from>
    <xdr:to>
      <xdr:col>2</xdr:col>
      <xdr:colOff>685800</xdr:colOff>
      <xdr:row>4</xdr:row>
      <xdr:rowOff>200025</xdr:rowOff>
    </xdr:to>
    <xdr:pic>
      <xdr:nvPicPr>
        <xdr:cNvPr id="1" name="Picture 1" descr="Description: Description: Description: Description: Description: Description: Description: Description: Description: Description: Description: C:\Users\thusharay\Desktop\CA logo.png"/>
        <xdr:cNvPicPr preferRelativeResize="1">
          <a:picLocks noChangeAspect="1"/>
        </xdr:cNvPicPr>
      </xdr:nvPicPr>
      <xdr:blipFill>
        <a:blip r:embed="rId1"/>
        <a:stretch>
          <a:fillRect/>
        </a:stretch>
      </xdr:blipFill>
      <xdr:spPr>
        <a:xfrm>
          <a:off x="0" y="228600"/>
          <a:ext cx="3876675" cy="1228725"/>
        </a:xfrm>
        <a:prstGeom prst="rect">
          <a:avLst/>
        </a:prstGeom>
        <a:noFill/>
        <a:ln w="9525" cmpd="sng">
          <a:noFill/>
        </a:ln>
      </xdr:spPr>
    </xdr:pic>
    <xdr:clientData/>
  </xdr:twoCellAnchor>
  <xdr:twoCellAnchor>
    <xdr:from>
      <xdr:col>4</xdr:col>
      <xdr:colOff>66675</xdr:colOff>
      <xdr:row>151</xdr:row>
      <xdr:rowOff>57150</xdr:rowOff>
    </xdr:from>
    <xdr:to>
      <xdr:col>4</xdr:col>
      <xdr:colOff>390525</xdr:colOff>
      <xdr:row>152</xdr:row>
      <xdr:rowOff>133350</xdr:rowOff>
    </xdr:to>
    <xdr:sp>
      <xdr:nvSpPr>
        <xdr:cNvPr id="2" name="Oval 3"/>
        <xdr:cNvSpPr>
          <a:spLocks/>
        </xdr:cNvSpPr>
      </xdr:nvSpPr>
      <xdr:spPr>
        <a:xfrm>
          <a:off x="7658100" y="47520225"/>
          <a:ext cx="323850" cy="3905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2
</a:t>
          </a:r>
        </a:p>
      </xdr:txBody>
    </xdr:sp>
    <xdr:clientData/>
  </xdr:twoCellAnchor>
  <xdr:twoCellAnchor>
    <xdr:from>
      <xdr:col>1</xdr:col>
      <xdr:colOff>171450</xdr:colOff>
      <xdr:row>151</xdr:row>
      <xdr:rowOff>38100</xdr:rowOff>
    </xdr:from>
    <xdr:to>
      <xdr:col>1</xdr:col>
      <xdr:colOff>485775</xdr:colOff>
      <xdr:row>152</xdr:row>
      <xdr:rowOff>104775</xdr:rowOff>
    </xdr:to>
    <xdr:sp>
      <xdr:nvSpPr>
        <xdr:cNvPr id="3" name="Oval 4"/>
        <xdr:cNvSpPr>
          <a:spLocks/>
        </xdr:cNvSpPr>
      </xdr:nvSpPr>
      <xdr:spPr>
        <a:xfrm>
          <a:off x="1762125" y="47501175"/>
          <a:ext cx="314325" cy="38100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1
</a:t>
          </a:r>
        </a:p>
      </xdr:txBody>
    </xdr:sp>
    <xdr:clientData/>
  </xdr:twoCellAnchor>
  <xdr:twoCellAnchor>
    <xdr:from>
      <xdr:col>5</xdr:col>
      <xdr:colOff>123825</xdr:colOff>
      <xdr:row>155</xdr:row>
      <xdr:rowOff>66675</xdr:rowOff>
    </xdr:from>
    <xdr:to>
      <xdr:col>5</xdr:col>
      <xdr:colOff>457200</xdr:colOff>
      <xdr:row>157</xdr:row>
      <xdr:rowOff>9525</xdr:rowOff>
    </xdr:to>
    <xdr:sp>
      <xdr:nvSpPr>
        <xdr:cNvPr id="4" name="Oval 5"/>
        <xdr:cNvSpPr>
          <a:spLocks/>
        </xdr:cNvSpPr>
      </xdr:nvSpPr>
      <xdr:spPr>
        <a:xfrm>
          <a:off x="10039350" y="48787050"/>
          <a:ext cx="333375" cy="57150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4
</a:t>
          </a:r>
        </a:p>
      </xdr:txBody>
    </xdr:sp>
    <xdr:clientData/>
  </xdr:twoCellAnchor>
  <xdr:twoCellAnchor>
    <xdr:from>
      <xdr:col>8</xdr:col>
      <xdr:colOff>438150</xdr:colOff>
      <xdr:row>146</xdr:row>
      <xdr:rowOff>142875</xdr:rowOff>
    </xdr:from>
    <xdr:to>
      <xdr:col>9</xdr:col>
      <xdr:colOff>142875</xdr:colOff>
      <xdr:row>148</xdr:row>
      <xdr:rowOff>66675</xdr:rowOff>
    </xdr:to>
    <xdr:sp>
      <xdr:nvSpPr>
        <xdr:cNvPr id="5" name="Oval 6"/>
        <xdr:cNvSpPr>
          <a:spLocks/>
        </xdr:cNvSpPr>
      </xdr:nvSpPr>
      <xdr:spPr>
        <a:xfrm>
          <a:off x="16192500" y="46034325"/>
          <a:ext cx="1304925" cy="5524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7
</a:t>
          </a:r>
        </a:p>
      </xdr:txBody>
    </xdr:sp>
    <xdr:clientData/>
  </xdr:twoCellAnchor>
  <xdr:twoCellAnchor>
    <xdr:from>
      <xdr:col>7</xdr:col>
      <xdr:colOff>476250</xdr:colOff>
      <xdr:row>156</xdr:row>
      <xdr:rowOff>66675</xdr:rowOff>
    </xdr:from>
    <xdr:to>
      <xdr:col>8</xdr:col>
      <xdr:colOff>180975</xdr:colOff>
      <xdr:row>158</xdr:row>
      <xdr:rowOff>19050</xdr:rowOff>
    </xdr:to>
    <xdr:sp>
      <xdr:nvSpPr>
        <xdr:cNvPr id="6" name="Oval 7"/>
        <xdr:cNvSpPr>
          <a:spLocks/>
        </xdr:cNvSpPr>
      </xdr:nvSpPr>
      <xdr:spPr>
        <a:xfrm>
          <a:off x="14630400" y="49101375"/>
          <a:ext cx="1304925" cy="5810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5
</a:t>
          </a:r>
        </a:p>
      </xdr:txBody>
    </xdr:sp>
    <xdr:clientData/>
  </xdr:twoCellAnchor>
  <xdr:twoCellAnchor>
    <xdr:from>
      <xdr:col>20</xdr:col>
      <xdr:colOff>409575</xdr:colOff>
      <xdr:row>147</xdr:row>
      <xdr:rowOff>180975</xdr:rowOff>
    </xdr:from>
    <xdr:to>
      <xdr:col>21</xdr:col>
      <xdr:colOff>0</xdr:colOff>
      <xdr:row>150</xdr:row>
      <xdr:rowOff>9525</xdr:rowOff>
    </xdr:to>
    <xdr:sp>
      <xdr:nvSpPr>
        <xdr:cNvPr id="7" name="Oval 4"/>
        <xdr:cNvSpPr>
          <a:spLocks/>
        </xdr:cNvSpPr>
      </xdr:nvSpPr>
      <xdr:spPr>
        <a:xfrm>
          <a:off x="35328225" y="46386750"/>
          <a:ext cx="1181100" cy="7715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12
</a:t>
          </a:r>
        </a:p>
      </xdr:txBody>
    </xdr:sp>
    <xdr:clientData/>
  </xdr:twoCellAnchor>
  <xdr:twoCellAnchor>
    <xdr:from>
      <xdr:col>10</xdr:col>
      <xdr:colOff>295275</xdr:colOff>
      <xdr:row>156</xdr:row>
      <xdr:rowOff>171450</xdr:rowOff>
    </xdr:from>
    <xdr:to>
      <xdr:col>11</xdr:col>
      <xdr:colOff>209550</xdr:colOff>
      <xdr:row>158</xdr:row>
      <xdr:rowOff>66675</xdr:rowOff>
    </xdr:to>
    <xdr:sp>
      <xdr:nvSpPr>
        <xdr:cNvPr id="8" name="Oval 6"/>
        <xdr:cNvSpPr>
          <a:spLocks/>
        </xdr:cNvSpPr>
      </xdr:nvSpPr>
      <xdr:spPr>
        <a:xfrm>
          <a:off x="19250025" y="49206150"/>
          <a:ext cx="1504950" cy="5238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6
</a:t>
          </a:r>
        </a:p>
      </xdr:txBody>
    </xdr:sp>
    <xdr:clientData/>
  </xdr:twoCellAnchor>
  <xdr:twoCellAnchor>
    <xdr:from>
      <xdr:col>4</xdr:col>
      <xdr:colOff>361950</xdr:colOff>
      <xdr:row>148</xdr:row>
      <xdr:rowOff>104775</xdr:rowOff>
    </xdr:from>
    <xdr:to>
      <xdr:col>5</xdr:col>
      <xdr:colOff>342900</xdr:colOff>
      <xdr:row>151</xdr:row>
      <xdr:rowOff>28575</xdr:rowOff>
    </xdr:to>
    <xdr:sp>
      <xdr:nvSpPr>
        <xdr:cNvPr id="9" name="Straight Arrow Connector 10"/>
        <xdr:cNvSpPr>
          <a:spLocks/>
        </xdr:cNvSpPr>
      </xdr:nvSpPr>
      <xdr:spPr>
        <a:xfrm flipV="1">
          <a:off x="7953375" y="46624875"/>
          <a:ext cx="2305050" cy="866775"/>
        </a:xfrm>
        <a:prstGeom prst="straightConnector1">
          <a:avLst/>
        </a:prstGeom>
        <a:noFill/>
        <a:ln w="9525"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323850</xdr:colOff>
      <xdr:row>152</xdr:row>
      <xdr:rowOff>95250</xdr:rowOff>
    </xdr:from>
    <xdr:to>
      <xdr:col>5</xdr:col>
      <xdr:colOff>161925</xdr:colOff>
      <xdr:row>155</xdr:row>
      <xdr:rowOff>57150</xdr:rowOff>
    </xdr:to>
    <xdr:sp>
      <xdr:nvSpPr>
        <xdr:cNvPr id="10" name="Straight Arrow Connector 11"/>
        <xdr:cNvSpPr>
          <a:spLocks/>
        </xdr:cNvSpPr>
      </xdr:nvSpPr>
      <xdr:spPr>
        <a:xfrm>
          <a:off x="7915275" y="47872650"/>
          <a:ext cx="2162175" cy="9048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147</xdr:row>
      <xdr:rowOff>123825</xdr:rowOff>
    </xdr:from>
    <xdr:to>
      <xdr:col>8</xdr:col>
      <xdr:colOff>304800</xdr:colOff>
      <xdr:row>147</xdr:row>
      <xdr:rowOff>123825</xdr:rowOff>
    </xdr:to>
    <xdr:sp>
      <xdr:nvSpPr>
        <xdr:cNvPr id="11" name="Straight Arrow Connector 12"/>
        <xdr:cNvSpPr>
          <a:spLocks/>
        </xdr:cNvSpPr>
      </xdr:nvSpPr>
      <xdr:spPr>
        <a:xfrm flipV="1">
          <a:off x="12306300" y="46329600"/>
          <a:ext cx="3752850"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495300</xdr:colOff>
      <xdr:row>151</xdr:row>
      <xdr:rowOff>161925</xdr:rowOff>
    </xdr:from>
    <xdr:to>
      <xdr:col>4</xdr:col>
      <xdr:colOff>28575</xdr:colOff>
      <xdr:row>151</xdr:row>
      <xdr:rowOff>161925</xdr:rowOff>
    </xdr:to>
    <xdr:sp>
      <xdr:nvSpPr>
        <xdr:cNvPr id="12" name="Straight Arrow Connector 13"/>
        <xdr:cNvSpPr>
          <a:spLocks/>
        </xdr:cNvSpPr>
      </xdr:nvSpPr>
      <xdr:spPr>
        <a:xfrm>
          <a:off x="2085975" y="47625000"/>
          <a:ext cx="55340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146</xdr:row>
      <xdr:rowOff>180975</xdr:rowOff>
    </xdr:from>
    <xdr:to>
      <xdr:col>6</xdr:col>
      <xdr:colOff>0</xdr:colOff>
      <xdr:row>148</xdr:row>
      <xdr:rowOff>152400</xdr:rowOff>
    </xdr:to>
    <xdr:sp>
      <xdr:nvSpPr>
        <xdr:cNvPr id="13" name="Oval 5"/>
        <xdr:cNvSpPr>
          <a:spLocks/>
        </xdr:cNvSpPr>
      </xdr:nvSpPr>
      <xdr:spPr>
        <a:xfrm>
          <a:off x="10210800" y="46072425"/>
          <a:ext cx="2028825" cy="6000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3
</a:t>
          </a:r>
        </a:p>
      </xdr:txBody>
    </xdr:sp>
    <xdr:clientData/>
  </xdr:twoCellAnchor>
  <xdr:twoCellAnchor>
    <xdr:from>
      <xdr:col>13</xdr:col>
      <xdr:colOff>28575</xdr:colOff>
      <xdr:row>147</xdr:row>
      <xdr:rowOff>66675</xdr:rowOff>
    </xdr:from>
    <xdr:to>
      <xdr:col>13</xdr:col>
      <xdr:colOff>419100</xdr:colOff>
      <xdr:row>149</xdr:row>
      <xdr:rowOff>19050</xdr:rowOff>
    </xdr:to>
    <xdr:sp>
      <xdr:nvSpPr>
        <xdr:cNvPr id="14" name="Oval 4"/>
        <xdr:cNvSpPr>
          <a:spLocks/>
        </xdr:cNvSpPr>
      </xdr:nvSpPr>
      <xdr:spPr>
        <a:xfrm>
          <a:off x="23774400" y="46272450"/>
          <a:ext cx="390525" cy="5810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9
</a:t>
          </a:r>
        </a:p>
      </xdr:txBody>
    </xdr:sp>
    <xdr:clientData/>
  </xdr:twoCellAnchor>
  <xdr:twoCellAnchor>
    <xdr:from>
      <xdr:col>15</xdr:col>
      <xdr:colOff>457200</xdr:colOff>
      <xdr:row>147</xdr:row>
      <xdr:rowOff>133350</xdr:rowOff>
    </xdr:from>
    <xdr:to>
      <xdr:col>16</xdr:col>
      <xdr:colOff>304800</xdr:colOff>
      <xdr:row>150</xdr:row>
      <xdr:rowOff>0</xdr:rowOff>
    </xdr:to>
    <xdr:sp>
      <xdr:nvSpPr>
        <xdr:cNvPr id="15" name="Oval 4"/>
        <xdr:cNvSpPr>
          <a:spLocks/>
        </xdr:cNvSpPr>
      </xdr:nvSpPr>
      <xdr:spPr>
        <a:xfrm>
          <a:off x="27403425" y="46339125"/>
          <a:ext cx="1438275" cy="8096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10
</a:t>
          </a:r>
        </a:p>
      </xdr:txBody>
    </xdr:sp>
    <xdr:clientData/>
  </xdr:twoCellAnchor>
  <xdr:twoCellAnchor>
    <xdr:from>
      <xdr:col>18</xdr:col>
      <xdr:colOff>104775</xdr:colOff>
      <xdr:row>147</xdr:row>
      <xdr:rowOff>171450</xdr:rowOff>
    </xdr:from>
    <xdr:to>
      <xdr:col>18</xdr:col>
      <xdr:colOff>561975</xdr:colOff>
      <xdr:row>150</xdr:row>
      <xdr:rowOff>28575</xdr:rowOff>
    </xdr:to>
    <xdr:sp>
      <xdr:nvSpPr>
        <xdr:cNvPr id="16" name="Oval 4"/>
        <xdr:cNvSpPr>
          <a:spLocks/>
        </xdr:cNvSpPr>
      </xdr:nvSpPr>
      <xdr:spPr>
        <a:xfrm>
          <a:off x="31832550" y="46377225"/>
          <a:ext cx="457200" cy="80010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11
</a:t>
          </a:r>
        </a:p>
      </xdr:txBody>
    </xdr:sp>
    <xdr:clientData/>
  </xdr:twoCellAnchor>
  <xdr:twoCellAnchor>
    <xdr:from>
      <xdr:col>5</xdr:col>
      <xdr:colOff>485775</xdr:colOff>
      <xdr:row>156</xdr:row>
      <xdr:rowOff>66675</xdr:rowOff>
    </xdr:from>
    <xdr:to>
      <xdr:col>7</xdr:col>
      <xdr:colOff>476250</xdr:colOff>
      <xdr:row>157</xdr:row>
      <xdr:rowOff>47625</xdr:rowOff>
    </xdr:to>
    <xdr:sp>
      <xdr:nvSpPr>
        <xdr:cNvPr id="17" name="Straight Arrow Connector 18"/>
        <xdr:cNvSpPr>
          <a:spLocks/>
        </xdr:cNvSpPr>
      </xdr:nvSpPr>
      <xdr:spPr>
        <a:xfrm>
          <a:off x="10401300" y="49101375"/>
          <a:ext cx="422910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148</xdr:row>
      <xdr:rowOff>76200</xdr:rowOff>
    </xdr:from>
    <xdr:to>
      <xdr:col>11</xdr:col>
      <xdr:colOff>66675</xdr:colOff>
      <xdr:row>152</xdr:row>
      <xdr:rowOff>142875</xdr:rowOff>
    </xdr:to>
    <xdr:sp>
      <xdr:nvSpPr>
        <xdr:cNvPr id="18" name="Straight Arrow Connector 19"/>
        <xdr:cNvSpPr>
          <a:spLocks/>
        </xdr:cNvSpPr>
      </xdr:nvSpPr>
      <xdr:spPr>
        <a:xfrm>
          <a:off x="12258675" y="46596300"/>
          <a:ext cx="8353425" cy="1323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142875</xdr:colOff>
      <xdr:row>157</xdr:row>
      <xdr:rowOff>47625</xdr:rowOff>
    </xdr:from>
    <xdr:to>
      <xdr:col>10</xdr:col>
      <xdr:colOff>247650</xdr:colOff>
      <xdr:row>157</xdr:row>
      <xdr:rowOff>47625</xdr:rowOff>
    </xdr:to>
    <xdr:sp>
      <xdr:nvSpPr>
        <xdr:cNvPr id="19" name="Straight Arrow Connector 20"/>
        <xdr:cNvSpPr>
          <a:spLocks/>
        </xdr:cNvSpPr>
      </xdr:nvSpPr>
      <xdr:spPr>
        <a:xfrm flipV="1">
          <a:off x="15897225" y="49396650"/>
          <a:ext cx="3305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66675</xdr:colOff>
      <xdr:row>154</xdr:row>
      <xdr:rowOff>19050</xdr:rowOff>
    </xdr:from>
    <xdr:to>
      <xdr:col>11</xdr:col>
      <xdr:colOff>257175</xdr:colOff>
      <xdr:row>156</xdr:row>
      <xdr:rowOff>104775</xdr:rowOff>
    </xdr:to>
    <xdr:sp>
      <xdr:nvSpPr>
        <xdr:cNvPr id="20" name="Straight Arrow Connector 21"/>
        <xdr:cNvSpPr>
          <a:spLocks/>
        </xdr:cNvSpPr>
      </xdr:nvSpPr>
      <xdr:spPr>
        <a:xfrm flipV="1">
          <a:off x="20612100" y="48425100"/>
          <a:ext cx="190500"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285750</xdr:colOff>
      <xdr:row>147</xdr:row>
      <xdr:rowOff>180975</xdr:rowOff>
    </xdr:from>
    <xdr:to>
      <xdr:col>12</xdr:col>
      <xdr:colOff>571500</xdr:colOff>
      <xdr:row>147</xdr:row>
      <xdr:rowOff>180975</xdr:rowOff>
    </xdr:to>
    <xdr:sp>
      <xdr:nvSpPr>
        <xdr:cNvPr id="21" name="Straight Arrow Connector 22"/>
        <xdr:cNvSpPr>
          <a:spLocks/>
        </xdr:cNvSpPr>
      </xdr:nvSpPr>
      <xdr:spPr>
        <a:xfrm flipV="1">
          <a:off x="17640300" y="46386750"/>
          <a:ext cx="50768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552450</xdr:colOff>
      <xdr:row>148</xdr:row>
      <xdr:rowOff>28575</xdr:rowOff>
    </xdr:from>
    <xdr:to>
      <xdr:col>15</xdr:col>
      <xdr:colOff>295275</xdr:colOff>
      <xdr:row>148</xdr:row>
      <xdr:rowOff>28575</xdr:rowOff>
    </xdr:to>
    <xdr:sp>
      <xdr:nvSpPr>
        <xdr:cNvPr id="22" name="Straight Arrow Connector 23"/>
        <xdr:cNvSpPr>
          <a:spLocks/>
        </xdr:cNvSpPr>
      </xdr:nvSpPr>
      <xdr:spPr>
        <a:xfrm>
          <a:off x="24298275" y="46548675"/>
          <a:ext cx="29432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148</xdr:row>
      <xdr:rowOff>123825</xdr:rowOff>
    </xdr:from>
    <xdr:to>
      <xdr:col>20</xdr:col>
      <xdr:colOff>352425</xdr:colOff>
      <xdr:row>148</xdr:row>
      <xdr:rowOff>123825</xdr:rowOff>
    </xdr:to>
    <xdr:sp>
      <xdr:nvSpPr>
        <xdr:cNvPr id="23" name="Straight Arrow Connector 24"/>
        <xdr:cNvSpPr>
          <a:spLocks/>
        </xdr:cNvSpPr>
      </xdr:nvSpPr>
      <xdr:spPr>
        <a:xfrm>
          <a:off x="33318450" y="46643925"/>
          <a:ext cx="19526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314325</xdr:colOff>
      <xdr:row>148</xdr:row>
      <xdr:rowOff>123825</xdr:rowOff>
    </xdr:from>
    <xdr:to>
      <xdr:col>18</xdr:col>
      <xdr:colOff>57150</xdr:colOff>
      <xdr:row>148</xdr:row>
      <xdr:rowOff>123825</xdr:rowOff>
    </xdr:to>
    <xdr:sp>
      <xdr:nvSpPr>
        <xdr:cNvPr id="24" name="Straight Arrow Connector 25"/>
        <xdr:cNvSpPr>
          <a:spLocks/>
        </xdr:cNvSpPr>
      </xdr:nvSpPr>
      <xdr:spPr>
        <a:xfrm>
          <a:off x="28851225" y="46643925"/>
          <a:ext cx="2933700"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333375</xdr:colOff>
      <xdr:row>153</xdr:row>
      <xdr:rowOff>28575</xdr:rowOff>
    </xdr:from>
    <xdr:to>
      <xdr:col>1</xdr:col>
      <xdr:colOff>323850</xdr:colOff>
      <xdr:row>154</xdr:row>
      <xdr:rowOff>85725</xdr:rowOff>
    </xdr:to>
    <xdr:sp>
      <xdr:nvSpPr>
        <xdr:cNvPr id="25" name="TextBox 26"/>
        <xdr:cNvSpPr txBox="1">
          <a:spLocks noChangeArrowheads="1"/>
        </xdr:cNvSpPr>
      </xdr:nvSpPr>
      <xdr:spPr>
        <a:xfrm>
          <a:off x="333375" y="48120300"/>
          <a:ext cx="158115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0        0           </a:t>
          </a:r>
        </a:p>
      </xdr:txBody>
    </xdr:sp>
    <xdr:clientData/>
  </xdr:twoCellAnchor>
  <xdr:twoCellAnchor>
    <xdr:from>
      <xdr:col>1</xdr:col>
      <xdr:colOff>19050</xdr:colOff>
      <xdr:row>153</xdr:row>
      <xdr:rowOff>28575</xdr:rowOff>
    </xdr:from>
    <xdr:to>
      <xdr:col>1</xdr:col>
      <xdr:colOff>19050</xdr:colOff>
      <xdr:row>154</xdr:row>
      <xdr:rowOff>85725</xdr:rowOff>
    </xdr:to>
    <xdr:sp>
      <xdr:nvSpPr>
        <xdr:cNvPr id="26" name="Straight Connector 27"/>
        <xdr:cNvSpPr>
          <a:spLocks/>
        </xdr:cNvSpPr>
      </xdr:nvSpPr>
      <xdr:spPr>
        <a:xfrm>
          <a:off x="1609725" y="4812030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514350</xdr:colOff>
      <xdr:row>153</xdr:row>
      <xdr:rowOff>47625</xdr:rowOff>
    </xdr:from>
    <xdr:to>
      <xdr:col>4</xdr:col>
      <xdr:colOff>190500</xdr:colOff>
      <xdr:row>154</xdr:row>
      <xdr:rowOff>104775</xdr:rowOff>
    </xdr:to>
    <xdr:sp>
      <xdr:nvSpPr>
        <xdr:cNvPr id="27" name="TextBox 28"/>
        <xdr:cNvSpPr txBox="1">
          <a:spLocks noChangeArrowheads="1"/>
        </xdr:cNvSpPr>
      </xdr:nvSpPr>
      <xdr:spPr>
        <a:xfrm>
          <a:off x="3705225" y="48139350"/>
          <a:ext cx="407670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4     4</a:t>
          </a:r>
        </a:p>
      </xdr:txBody>
    </xdr:sp>
    <xdr:clientData/>
  </xdr:twoCellAnchor>
  <xdr:twoCellAnchor>
    <xdr:from>
      <xdr:col>6</xdr:col>
      <xdr:colOff>0</xdr:colOff>
      <xdr:row>145</xdr:row>
      <xdr:rowOff>0</xdr:rowOff>
    </xdr:from>
    <xdr:to>
      <xdr:col>6</xdr:col>
      <xdr:colOff>600075</xdr:colOff>
      <xdr:row>146</xdr:row>
      <xdr:rowOff>57150</xdr:rowOff>
    </xdr:to>
    <xdr:sp>
      <xdr:nvSpPr>
        <xdr:cNvPr id="28" name="TextBox 29"/>
        <xdr:cNvSpPr txBox="1">
          <a:spLocks noChangeArrowheads="1"/>
        </xdr:cNvSpPr>
      </xdr:nvSpPr>
      <xdr:spPr>
        <a:xfrm>
          <a:off x="12239625" y="45577125"/>
          <a:ext cx="6000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6     6</a:t>
          </a:r>
        </a:p>
      </xdr:txBody>
    </xdr:sp>
    <xdr:clientData/>
  </xdr:twoCellAnchor>
  <xdr:twoCellAnchor>
    <xdr:from>
      <xdr:col>20</xdr:col>
      <xdr:colOff>219075</xdr:colOff>
      <xdr:row>151</xdr:row>
      <xdr:rowOff>0</xdr:rowOff>
    </xdr:from>
    <xdr:to>
      <xdr:col>21</xdr:col>
      <xdr:colOff>0</xdr:colOff>
      <xdr:row>152</xdr:row>
      <xdr:rowOff>57150</xdr:rowOff>
    </xdr:to>
    <xdr:sp>
      <xdr:nvSpPr>
        <xdr:cNvPr id="29" name="TextBox 30"/>
        <xdr:cNvSpPr txBox="1">
          <a:spLocks noChangeArrowheads="1"/>
        </xdr:cNvSpPr>
      </xdr:nvSpPr>
      <xdr:spPr>
        <a:xfrm>
          <a:off x="35137725" y="47463075"/>
          <a:ext cx="137160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 64   64   </a:t>
          </a:r>
        </a:p>
      </xdr:txBody>
    </xdr:sp>
    <xdr:clientData/>
  </xdr:twoCellAnchor>
  <xdr:twoCellAnchor>
    <xdr:from>
      <xdr:col>4</xdr:col>
      <xdr:colOff>209550</xdr:colOff>
      <xdr:row>157</xdr:row>
      <xdr:rowOff>57150</xdr:rowOff>
    </xdr:from>
    <xdr:to>
      <xdr:col>5</xdr:col>
      <xdr:colOff>200025</xdr:colOff>
      <xdr:row>158</xdr:row>
      <xdr:rowOff>114300</xdr:rowOff>
    </xdr:to>
    <xdr:sp>
      <xdr:nvSpPr>
        <xdr:cNvPr id="30" name="TextBox 31"/>
        <xdr:cNvSpPr txBox="1">
          <a:spLocks noChangeArrowheads="1"/>
        </xdr:cNvSpPr>
      </xdr:nvSpPr>
      <xdr:spPr>
        <a:xfrm>
          <a:off x="7800975" y="49406175"/>
          <a:ext cx="23145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7      34 84343434347</a:t>
          </a:r>
        </a:p>
      </xdr:txBody>
    </xdr:sp>
    <xdr:clientData/>
  </xdr:twoCellAnchor>
  <xdr:twoCellAnchor>
    <xdr:from>
      <xdr:col>8</xdr:col>
      <xdr:colOff>0</xdr:colOff>
      <xdr:row>159</xdr:row>
      <xdr:rowOff>0</xdr:rowOff>
    </xdr:from>
    <xdr:to>
      <xdr:col>8</xdr:col>
      <xdr:colOff>561975</xdr:colOff>
      <xdr:row>160</xdr:row>
      <xdr:rowOff>85725</xdr:rowOff>
    </xdr:to>
    <xdr:sp>
      <xdr:nvSpPr>
        <xdr:cNvPr id="31" name="TextBox 32"/>
        <xdr:cNvSpPr txBox="1">
          <a:spLocks noChangeArrowheads="1"/>
        </xdr:cNvSpPr>
      </xdr:nvSpPr>
      <xdr:spPr>
        <a:xfrm>
          <a:off x="15754350" y="49977675"/>
          <a:ext cx="561975"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9     36</a:t>
          </a:r>
        </a:p>
      </xdr:txBody>
    </xdr:sp>
    <xdr:clientData/>
  </xdr:twoCellAnchor>
  <xdr:twoCellAnchor>
    <xdr:from>
      <xdr:col>11</xdr:col>
      <xdr:colOff>0</xdr:colOff>
      <xdr:row>159</xdr:row>
      <xdr:rowOff>0</xdr:rowOff>
    </xdr:from>
    <xdr:to>
      <xdr:col>12</xdr:col>
      <xdr:colOff>38100</xdr:colOff>
      <xdr:row>160</xdr:row>
      <xdr:rowOff>95250</xdr:rowOff>
    </xdr:to>
    <xdr:sp>
      <xdr:nvSpPr>
        <xdr:cNvPr id="32" name="TextBox 33"/>
        <xdr:cNvSpPr txBox="1">
          <a:spLocks noChangeArrowheads="1"/>
        </xdr:cNvSpPr>
      </xdr:nvSpPr>
      <xdr:spPr>
        <a:xfrm>
          <a:off x="20545425" y="49977675"/>
          <a:ext cx="1638300" cy="409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13  40</a:t>
          </a:r>
        </a:p>
      </xdr:txBody>
    </xdr:sp>
    <xdr:clientData/>
  </xdr:twoCellAnchor>
  <xdr:twoCellAnchor>
    <xdr:from>
      <xdr:col>12</xdr:col>
      <xdr:colOff>257175</xdr:colOff>
      <xdr:row>153</xdr:row>
      <xdr:rowOff>85725</xdr:rowOff>
    </xdr:from>
    <xdr:to>
      <xdr:col>13</xdr:col>
      <xdr:colOff>276225</xdr:colOff>
      <xdr:row>154</xdr:row>
      <xdr:rowOff>142875</xdr:rowOff>
    </xdr:to>
    <xdr:sp>
      <xdr:nvSpPr>
        <xdr:cNvPr id="33" name="TextBox 34"/>
        <xdr:cNvSpPr txBox="1">
          <a:spLocks noChangeArrowheads="1"/>
        </xdr:cNvSpPr>
      </xdr:nvSpPr>
      <xdr:spPr>
        <a:xfrm>
          <a:off x="22402800" y="48177450"/>
          <a:ext cx="161925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17   44</a:t>
          </a:r>
        </a:p>
      </xdr:txBody>
    </xdr:sp>
    <xdr:clientData/>
  </xdr:twoCellAnchor>
  <xdr:twoCellAnchor>
    <xdr:from>
      <xdr:col>15</xdr:col>
      <xdr:colOff>371475</xdr:colOff>
      <xdr:row>150</xdr:row>
      <xdr:rowOff>142875</xdr:rowOff>
    </xdr:from>
    <xdr:to>
      <xdr:col>16</xdr:col>
      <xdr:colOff>361950</xdr:colOff>
      <xdr:row>152</xdr:row>
      <xdr:rowOff>9525</xdr:rowOff>
    </xdr:to>
    <xdr:sp>
      <xdr:nvSpPr>
        <xdr:cNvPr id="34" name="TextBox 35"/>
        <xdr:cNvSpPr txBox="1">
          <a:spLocks noChangeArrowheads="1"/>
        </xdr:cNvSpPr>
      </xdr:nvSpPr>
      <xdr:spPr>
        <a:xfrm>
          <a:off x="27317700" y="47291625"/>
          <a:ext cx="1581150" cy="4953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61    61</a:t>
          </a:r>
        </a:p>
      </xdr:txBody>
    </xdr:sp>
    <xdr:clientData/>
  </xdr:twoCellAnchor>
  <xdr:twoCellAnchor>
    <xdr:from>
      <xdr:col>17</xdr:col>
      <xdr:colOff>590550</xdr:colOff>
      <xdr:row>145</xdr:row>
      <xdr:rowOff>104775</xdr:rowOff>
    </xdr:from>
    <xdr:to>
      <xdr:col>18</xdr:col>
      <xdr:colOff>581025</xdr:colOff>
      <xdr:row>146</xdr:row>
      <xdr:rowOff>161925</xdr:rowOff>
    </xdr:to>
    <xdr:sp>
      <xdr:nvSpPr>
        <xdr:cNvPr id="35" name="TextBox 36"/>
        <xdr:cNvSpPr txBox="1">
          <a:spLocks noChangeArrowheads="1"/>
        </xdr:cNvSpPr>
      </xdr:nvSpPr>
      <xdr:spPr>
        <a:xfrm>
          <a:off x="30718125" y="45681900"/>
          <a:ext cx="15906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63    63</a:t>
          </a:r>
        </a:p>
      </xdr:txBody>
    </xdr:sp>
    <xdr:clientData/>
  </xdr:twoCellAnchor>
  <xdr:twoCellAnchor>
    <xdr:from>
      <xdr:col>13</xdr:col>
      <xdr:colOff>200025</xdr:colOff>
      <xdr:row>145</xdr:row>
      <xdr:rowOff>57150</xdr:rowOff>
    </xdr:from>
    <xdr:to>
      <xdr:col>14</xdr:col>
      <xdr:colOff>190500</xdr:colOff>
      <xdr:row>146</xdr:row>
      <xdr:rowOff>114300</xdr:rowOff>
    </xdr:to>
    <xdr:sp>
      <xdr:nvSpPr>
        <xdr:cNvPr id="36" name="TextBox 37"/>
        <xdr:cNvSpPr txBox="1">
          <a:spLocks noChangeArrowheads="1"/>
        </xdr:cNvSpPr>
      </xdr:nvSpPr>
      <xdr:spPr>
        <a:xfrm>
          <a:off x="23945850" y="45634275"/>
          <a:ext cx="15906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58   58</a:t>
          </a:r>
        </a:p>
      </xdr:txBody>
    </xdr:sp>
    <xdr:clientData/>
  </xdr:twoCellAnchor>
  <xdr:twoCellAnchor>
    <xdr:from>
      <xdr:col>8</xdr:col>
      <xdr:colOff>0</xdr:colOff>
      <xdr:row>145</xdr:row>
      <xdr:rowOff>0</xdr:rowOff>
    </xdr:from>
    <xdr:to>
      <xdr:col>8</xdr:col>
      <xdr:colOff>600075</xdr:colOff>
      <xdr:row>146</xdr:row>
      <xdr:rowOff>57150</xdr:rowOff>
    </xdr:to>
    <xdr:sp>
      <xdr:nvSpPr>
        <xdr:cNvPr id="37" name="TextBox 38"/>
        <xdr:cNvSpPr txBox="1">
          <a:spLocks noChangeArrowheads="1"/>
        </xdr:cNvSpPr>
      </xdr:nvSpPr>
      <xdr:spPr>
        <a:xfrm>
          <a:off x="15754350" y="45577125"/>
          <a:ext cx="6000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18   18    </a:t>
          </a:r>
        </a:p>
      </xdr:txBody>
    </xdr:sp>
    <xdr:clientData/>
  </xdr:twoCellAnchor>
  <xdr:twoCellAnchor>
    <xdr:from>
      <xdr:col>2</xdr:col>
      <xdr:colOff>819150</xdr:colOff>
      <xdr:row>153</xdr:row>
      <xdr:rowOff>47625</xdr:rowOff>
    </xdr:from>
    <xdr:to>
      <xdr:col>2</xdr:col>
      <xdr:colOff>819150</xdr:colOff>
      <xdr:row>154</xdr:row>
      <xdr:rowOff>104775</xdr:rowOff>
    </xdr:to>
    <xdr:sp>
      <xdr:nvSpPr>
        <xdr:cNvPr id="38" name="Straight Connector 39"/>
        <xdr:cNvSpPr>
          <a:spLocks/>
        </xdr:cNvSpPr>
      </xdr:nvSpPr>
      <xdr:spPr>
        <a:xfrm>
          <a:off x="4010025" y="4813935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523875</xdr:colOff>
      <xdr:row>157</xdr:row>
      <xdr:rowOff>66675</xdr:rowOff>
    </xdr:from>
    <xdr:to>
      <xdr:col>4</xdr:col>
      <xdr:colOff>523875</xdr:colOff>
      <xdr:row>158</xdr:row>
      <xdr:rowOff>123825</xdr:rowOff>
    </xdr:to>
    <xdr:sp>
      <xdr:nvSpPr>
        <xdr:cNvPr id="39" name="Straight Connector 40"/>
        <xdr:cNvSpPr>
          <a:spLocks/>
        </xdr:cNvSpPr>
      </xdr:nvSpPr>
      <xdr:spPr>
        <a:xfrm>
          <a:off x="8115300" y="4941570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285750</xdr:colOff>
      <xdr:row>145</xdr:row>
      <xdr:rowOff>0</xdr:rowOff>
    </xdr:from>
    <xdr:to>
      <xdr:col>8</xdr:col>
      <xdr:colOff>285750</xdr:colOff>
      <xdr:row>146</xdr:row>
      <xdr:rowOff>57150</xdr:rowOff>
    </xdr:to>
    <xdr:sp>
      <xdr:nvSpPr>
        <xdr:cNvPr id="40" name="Straight Connector 41"/>
        <xdr:cNvSpPr>
          <a:spLocks/>
        </xdr:cNvSpPr>
      </xdr:nvSpPr>
      <xdr:spPr>
        <a:xfrm>
          <a:off x="16040100" y="45577125"/>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145</xdr:row>
      <xdr:rowOff>19050</xdr:rowOff>
    </xdr:from>
    <xdr:to>
      <xdr:col>6</xdr:col>
      <xdr:colOff>257175</xdr:colOff>
      <xdr:row>146</xdr:row>
      <xdr:rowOff>76200</xdr:rowOff>
    </xdr:to>
    <xdr:sp>
      <xdr:nvSpPr>
        <xdr:cNvPr id="41" name="Straight Connector 42"/>
        <xdr:cNvSpPr>
          <a:spLocks/>
        </xdr:cNvSpPr>
      </xdr:nvSpPr>
      <xdr:spPr>
        <a:xfrm>
          <a:off x="12496800" y="45596175"/>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285750</xdr:colOff>
      <xdr:row>159</xdr:row>
      <xdr:rowOff>0</xdr:rowOff>
    </xdr:from>
    <xdr:to>
      <xdr:col>8</xdr:col>
      <xdr:colOff>285750</xdr:colOff>
      <xdr:row>160</xdr:row>
      <xdr:rowOff>85725</xdr:rowOff>
    </xdr:to>
    <xdr:sp>
      <xdr:nvSpPr>
        <xdr:cNvPr id="42" name="Straight Connector 43"/>
        <xdr:cNvSpPr>
          <a:spLocks/>
        </xdr:cNvSpPr>
      </xdr:nvSpPr>
      <xdr:spPr>
        <a:xfrm>
          <a:off x="16040100" y="49977675"/>
          <a:ext cx="0"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514350</xdr:colOff>
      <xdr:row>151</xdr:row>
      <xdr:rowOff>19050</xdr:rowOff>
    </xdr:from>
    <xdr:to>
      <xdr:col>20</xdr:col>
      <xdr:colOff>514350</xdr:colOff>
      <xdr:row>152</xdr:row>
      <xdr:rowOff>76200</xdr:rowOff>
    </xdr:to>
    <xdr:sp>
      <xdr:nvSpPr>
        <xdr:cNvPr id="43" name="Straight Connector 44"/>
        <xdr:cNvSpPr>
          <a:spLocks/>
        </xdr:cNvSpPr>
      </xdr:nvSpPr>
      <xdr:spPr>
        <a:xfrm>
          <a:off x="35433000" y="47482125"/>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159</xdr:row>
      <xdr:rowOff>0</xdr:rowOff>
    </xdr:from>
    <xdr:to>
      <xdr:col>11</xdr:col>
      <xdr:colOff>276225</xdr:colOff>
      <xdr:row>160</xdr:row>
      <xdr:rowOff>95250</xdr:rowOff>
    </xdr:to>
    <xdr:sp>
      <xdr:nvSpPr>
        <xdr:cNvPr id="44" name="Straight Connector 45"/>
        <xdr:cNvSpPr>
          <a:spLocks/>
        </xdr:cNvSpPr>
      </xdr:nvSpPr>
      <xdr:spPr>
        <a:xfrm>
          <a:off x="20821650" y="49977675"/>
          <a:ext cx="0" cy="409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285750</xdr:colOff>
      <xdr:row>145</xdr:row>
      <xdr:rowOff>123825</xdr:rowOff>
    </xdr:from>
    <xdr:to>
      <xdr:col>18</xdr:col>
      <xdr:colOff>285750</xdr:colOff>
      <xdr:row>146</xdr:row>
      <xdr:rowOff>180975</xdr:rowOff>
    </xdr:to>
    <xdr:sp>
      <xdr:nvSpPr>
        <xdr:cNvPr id="45" name="Straight Connector 46"/>
        <xdr:cNvSpPr>
          <a:spLocks/>
        </xdr:cNvSpPr>
      </xdr:nvSpPr>
      <xdr:spPr>
        <a:xfrm>
          <a:off x="32013525" y="4570095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552450</xdr:colOff>
      <xdr:row>153</xdr:row>
      <xdr:rowOff>95250</xdr:rowOff>
    </xdr:from>
    <xdr:to>
      <xdr:col>12</xdr:col>
      <xdr:colOff>552450</xdr:colOff>
      <xdr:row>154</xdr:row>
      <xdr:rowOff>152400</xdr:rowOff>
    </xdr:to>
    <xdr:sp>
      <xdr:nvSpPr>
        <xdr:cNvPr id="46" name="Straight Connector 47"/>
        <xdr:cNvSpPr>
          <a:spLocks/>
        </xdr:cNvSpPr>
      </xdr:nvSpPr>
      <xdr:spPr>
        <a:xfrm>
          <a:off x="22698075" y="48186975"/>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57150</xdr:colOff>
      <xdr:row>150</xdr:row>
      <xdr:rowOff>152400</xdr:rowOff>
    </xdr:from>
    <xdr:to>
      <xdr:col>16</xdr:col>
      <xdr:colOff>57150</xdr:colOff>
      <xdr:row>152</xdr:row>
      <xdr:rowOff>19050</xdr:rowOff>
    </xdr:to>
    <xdr:sp>
      <xdr:nvSpPr>
        <xdr:cNvPr id="47" name="Straight Connector 48"/>
        <xdr:cNvSpPr>
          <a:spLocks/>
        </xdr:cNvSpPr>
      </xdr:nvSpPr>
      <xdr:spPr>
        <a:xfrm>
          <a:off x="28594050" y="47301150"/>
          <a:ext cx="0" cy="495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149</xdr:row>
      <xdr:rowOff>104775</xdr:rowOff>
    </xdr:from>
    <xdr:to>
      <xdr:col>13</xdr:col>
      <xdr:colOff>123825</xdr:colOff>
      <xdr:row>152</xdr:row>
      <xdr:rowOff>47625</xdr:rowOff>
    </xdr:to>
    <xdr:sp>
      <xdr:nvSpPr>
        <xdr:cNvPr id="48" name="Straight Arrow Connector 49"/>
        <xdr:cNvSpPr>
          <a:spLocks/>
        </xdr:cNvSpPr>
      </xdr:nvSpPr>
      <xdr:spPr>
        <a:xfrm flipV="1">
          <a:off x="22298025" y="46939200"/>
          <a:ext cx="1571625" cy="885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142875</xdr:colOff>
      <xdr:row>152</xdr:row>
      <xdr:rowOff>19050</xdr:rowOff>
    </xdr:from>
    <xdr:to>
      <xdr:col>12</xdr:col>
      <xdr:colOff>66675</xdr:colOff>
      <xdr:row>153</xdr:row>
      <xdr:rowOff>180975</xdr:rowOff>
    </xdr:to>
    <xdr:sp>
      <xdr:nvSpPr>
        <xdr:cNvPr id="49" name="Oval 50"/>
        <xdr:cNvSpPr>
          <a:spLocks/>
        </xdr:cNvSpPr>
      </xdr:nvSpPr>
      <xdr:spPr>
        <a:xfrm>
          <a:off x="20688300" y="47796450"/>
          <a:ext cx="1524000" cy="4762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8</a:t>
          </a:r>
        </a:p>
      </xdr:txBody>
    </xdr:sp>
    <xdr:clientData/>
  </xdr:twoCellAnchor>
  <xdr:twoCellAnchor>
    <xdr:from>
      <xdr:col>5</xdr:col>
      <xdr:colOff>438150</xdr:colOff>
      <xdr:row>149</xdr:row>
      <xdr:rowOff>114300</xdr:rowOff>
    </xdr:from>
    <xdr:to>
      <xdr:col>5</xdr:col>
      <xdr:colOff>438150</xdr:colOff>
      <xdr:row>155</xdr:row>
      <xdr:rowOff>28575</xdr:rowOff>
    </xdr:to>
    <xdr:sp>
      <xdr:nvSpPr>
        <xdr:cNvPr id="50" name="Straight Arrow Connector 51"/>
        <xdr:cNvSpPr>
          <a:spLocks/>
        </xdr:cNvSpPr>
      </xdr:nvSpPr>
      <xdr:spPr>
        <a:xfrm flipH="1" flipV="1">
          <a:off x="10353675" y="46948725"/>
          <a:ext cx="0" cy="1800225"/>
        </a:xfrm>
        <a:prstGeom prst="straightConnector1">
          <a:avLst/>
        </a:prstGeom>
        <a:noFill/>
        <a:ln w="9525" cmpd="sng">
          <a:solidFill>
            <a:srgbClr val="FF0000"/>
          </a:solidFill>
          <a:prstDash val="dash"/>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485775</xdr:colOff>
      <xdr:row>145</xdr:row>
      <xdr:rowOff>66675</xdr:rowOff>
    </xdr:from>
    <xdr:to>
      <xdr:col>13</xdr:col>
      <xdr:colOff>485775</xdr:colOff>
      <xdr:row>146</xdr:row>
      <xdr:rowOff>123825</xdr:rowOff>
    </xdr:to>
    <xdr:sp>
      <xdr:nvSpPr>
        <xdr:cNvPr id="51" name="Straight Connector 52"/>
        <xdr:cNvSpPr>
          <a:spLocks/>
        </xdr:cNvSpPr>
      </xdr:nvSpPr>
      <xdr:spPr>
        <a:xfrm>
          <a:off x="24231600" y="4564380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66675</xdr:colOff>
      <xdr:row>209</xdr:row>
      <xdr:rowOff>57150</xdr:rowOff>
    </xdr:from>
    <xdr:to>
      <xdr:col>4</xdr:col>
      <xdr:colOff>390525</xdr:colOff>
      <xdr:row>210</xdr:row>
      <xdr:rowOff>133350</xdr:rowOff>
    </xdr:to>
    <xdr:sp>
      <xdr:nvSpPr>
        <xdr:cNvPr id="52" name="Oval 53"/>
        <xdr:cNvSpPr>
          <a:spLocks/>
        </xdr:cNvSpPr>
      </xdr:nvSpPr>
      <xdr:spPr>
        <a:xfrm>
          <a:off x="7658100" y="65751075"/>
          <a:ext cx="323850" cy="3905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2
</a:t>
          </a:r>
        </a:p>
      </xdr:txBody>
    </xdr:sp>
    <xdr:clientData/>
  </xdr:twoCellAnchor>
  <xdr:twoCellAnchor>
    <xdr:from>
      <xdr:col>1</xdr:col>
      <xdr:colOff>171450</xdr:colOff>
      <xdr:row>209</xdr:row>
      <xdr:rowOff>38100</xdr:rowOff>
    </xdr:from>
    <xdr:to>
      <xdr:col>1</xdr:col>
      <xdr:colOff>485775</xdr:colOff>
      <xdr:row>210</xdr:row>
      <xdr:rowOff>104775</xdr:rowOff>
    </xdr:to>
    <xdr:sp>
      <xdr:nvSpPr>
        <xdr:cNvPr id="53" name="Oval 54"/>
        <xdr:cNvSpPr>
          <a:spLocks/>
        </xdr:cNvSpPr>
      </xdr:nvSpPr>
      <xdr:spPr>
        <a:xfrm>
          <a:off x="1762125" y="65732025"/>
          <a:ext cx="314325" cy="38100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1
</a:t>
          </a:r>
        </a:p>
      </xdr:txBody>
    </xdr:sp>
    <xdr:clientData/>
  </xdr:twoCellAnchor>
  <xdr:twoCellAnchor>
    <xdr:from>
      <xdr:col>5</xdr:col>
      <xdr:colOff>123825</xdr:colOff>
      <xdr:row>213</xdr:row>
      <xdr:rowOff>66675</xdr:rowOff>
    </xdr:from>
    <xdr:to>
      <xdr:col>5</xdr:col>
      <xdr:colOff>457200</xdr:colOff>
      <xdr:row>215</xdr:row>
      <xdr:rowOff>9525</xdr:rowOff>
    </xdr:to>
    <xdr:sp>
      <xdr:nvSpPr>
        <xdr:cNvPr id="54" name="Oval 55"/>
        <xdr:cNvSpPr>
          <a:spLocks/>
        </xdr:cNvSpPr>
      </xdr:nvSpPr>
      <xdr:spPr>
        <a:xfrm>
          <a:off x="10039350" y="67017900"/>
          <a:ext cx="333375" cy="57150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4
</a:t>
          </a:r>
        </a:p>
      </xdr:txBody>
    </xdr:sp>
    <xdr:clientData/>
  </xdr:twoCellAnchor>
  <xdr:twoCellAnchor>
    <xdr:from>
      <xdr:col>8</xdr:col>
      <xdr:colOff>438150</xdr:colOff>
      <xdr:row>204</xdr:row>
      <xdr:rowOff>142875</xdr:rowOff>
    </xdr:from>
    <xdr:to>
      <xdr:col>9</xdr:col>
      <xdr:colOff>142875</xdr:colOff>
      <xdr:row>206</xdr:row>
      <xdr:rowOff>66675</xdr:rowOff>
    </xdr:to>
    <xdr:sp>
      <xdr:nvSpPr>
        <xdr:cNvPr id="55" name="Oval 56"/>
        <xdr:cNvSpPr>
          <a:spLocks/>
        </xdr:cNvSpPr>
      </xdr:nvSpPr>
      <xdr:spPr>
        <a:xfrm>
          <a:off x="16192500" y="64265175"/>
          <a:ext cx="1304925" cy="5524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7
</a:t>
          </a:r>
        </a:p>
      </xdr:txBody>
    </xdr:sp>
    <xdr:clientData/>
  </xdr:twoCellAnchor>
  <xdr:twoCellAnchor>
    <xdr:from>
      <xdr:col>7</xdr:col>
      <xdr:colOff>476250</xdr:colOff>
      <xdr:row>214</xdr:row>
      <xdr:rowOff>66675</xdr:rowOff>
    </xdr:from>
    <xdr:to>
      <xdr:col>8</xdr:col>
      <xdr:colOff>180975</xdr:colOff>
      <xdr:row>216</xdr:row>
      <xdr:rowOff>19050</xdr:rowOff>
    </xdr:to>
    <xdr:sp>
      <xdr:nvSpPr>
        <xdr:cNvPr id="56" name="Oval 57"/>
        <xdr:cNvSpPr>
          <a:spLocks/>
        </xdr:cNvSpPr>
      </xdr:nvSpPr>
      <xdr:spPr>
        <a:xfrm>
          <a:off x="14630400" y="67332225"/>
          <a:ext cx="1304925" cy="5810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5
</a:t>
          </a:r>
        </a:p>
      </xdr:txBody>
    </xdr:sp>
    <xdr:clientData/>
  </xdr:twoCellAnchor>
  <xdr:twoCellAnchor>
    <xdr:from>
      <xdr:col>20</xdr:col>
      <xdr:colOff>409575</xdr:colOff>
      <xdr:row>205</xdr:row>
      <xdr:rowOff>180975</xdr:rowOff>
    </xdr:from>
    <xdr:to>
      <xdr:col>21</xdr:col>
      <xdr:colOff>0</xdr:colOff>
      <xdr:row>208</xdr:row>
      <xdr:rowOff>9525</xdr:rowOff>
    </xdr:to>
    <xdr:sp>
      <xdr:nvSpPr>
        <xdr:cNvPr id="57" name="Oval 4"/>
        <xdr:cNvSpPr>
          <a:spLocks/>
        </xdr:cNvSpPr>
      </xdr:nvSpPr>
      <xdr:spPr>
        <a:xfrm>
          <a:off x="35328225" y="64617600"/>
          <a:ext cx="1181100" cy="7715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12
</a:t>
          </a:r>
        </a:p>
      </xdr:txBody>
    </xdr:sp>
    <xdr:clientData/>
  </xdr:twoCellAnchor>
  <xdr:twoCellAnchor>
    <xdr:from>
      <xdr:col>10</xdr:col>
      <xdr:colOff>295275</xdr:colOff>
      <xdr:row>214</xdr:row>
      <xdr:rowOff>171450</xdr:rowOff>
    </xdr:from>
    <xdr:to>
      <xdr:col>11</xdr:col>
      <xdr:colOff>209550</xdr:colOff>
      <xdr:row>216</xdr:row>
      <xdr:rowOff>66675</xdr:rowOff>
    </xdr:to>
    <xdr:sp>
      <xdr:nvSpPr>
        <xdr:cNvPr id="58" name="Oval 6"/>
        <xdr:cNvSpPr>
          <a:spLocks/>
        </xdr:cNvSpPr>
      </xdr:nvSpPr>
      <xdr:spPr>
        <a:xfrm>
          <a:off x="19250025" y="67437000"/>
          <a:ext cx="1504950" cy="5238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6
</a:t>
          </a:r>
        </a:p>
      </xdr:txBody>
    </xdr:sp>
    <xdr:clientData/>
  </xdr:twoCellAnchor>
  <xdr:twoCellAnchor>
    <xdr:from>
      <xdr:col>4</xdr:col>
      <xdr:colOff>361950</xdr:colOff>
      <xdr:row>206</xdr:row>
      <xdr:rowOff>104775</xdr:rowOff>
    </xdr:from>
    <xdr:to>
      <xdr:col>5</xdr:col>
      <xdr:colOff>342900</xdr:colOff>
      <xdr:row>209</xdr:row>
      <xdr:rowOff>28575</xdr:rowOff>
    </xdr:to>
    <xdr:sp>
      <xdr:nvSpPr>
        <xdr:cNvPr id="59" name="Straight Arrow Connector 60"/>
        <xdr:cNvSpPr>
          <a:spLocks/>
        </xdr:cNvSpPr>
      </xdr:nvSpPr>
      <xdr:spPr>
        <a:xfrm flipV="1">
          <a:off x="7953375" y="64855725"/>
          <a:ext cx="2305050" cy="866775"/>
        </a:xfrm>
        <a:prstGeom prst="straightConnector1">
          <a:avLst/>
        </a:prstGeom>
        <a:noFill/>
        <a:ln w="9525"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323850</xdr:colOff>
      <xdr:row>210</xdr:row>
      <xdr:rowOff>95250</xdr:rowOff>
    </xdr:from>
    <xdr:to>
      <xdr:col>5</xdr:col>
      <xdr:colOff>161925</xdr:colOff>
      <xdr:row>213</xdr:row>
      <xdr:rowOff>57150</xdr:rowOff>
    </xdr:to>
    <xdr:sp>
      <xdr:nvSpPr>
        <xdr:cNvPr id="60" name="Straight Arrow Connector 61"/>
        <xdr:cNvSpPr>
          <a:spLocks/>
        </xdr:cNvSpPr>
      </xdr:nvSpPr>
      <xdr:spPr>
        <a:xfrm>
          <a:off x="7915275" y="66103500"/>
          <a:ext cx="2162175" cy="9048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205</xdr:row>
      <xdr:rowOff>123825</xdr:rowOff>
    </xdr:from>
    <xdr:to>
      <xdr:col>8</xdr:col>
      <xdr:colOff>304800</xdr:colOff>
      <xdr:row>205</xdr:row>
      <xdr:rowOff>123825</xdr:rowOff>
    </xdr:to>
    <xdr:sp>
      <xdr:nvSpPr>
        <xdr:cNvPr id="61" name="Straight Arrow Connector 62"/>
        <xdr:cNvSpPr>
          <a:spLocks/>
        </xdr:cNvSpPr>
      </xdr:nvSpPr>
      <xdr:spPr>
        <a:xfrm flipV="1">
          <a:off x="12306300" y="64560450"/>
          <a:ext cx="3752850"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495300</xdr:colOff>
      <xdr:row>209</xdr:row>
      <xdr:rowOff>161925</xdr:rowOff>
    </xdr:from>
    <xdr:to>
      <xdr:col>4</xdr:col>
      <xdr:colOff>28575</xdr:colOff>
      <xdr:row>209</xdr:row>
      <xdr:rowOff>161925</xdr:rowOff>
    </xdr:to>
    <xdr:sp>
      <xdr:nvSpPr>
        <xdr:cNvPr id="62" name="Straight Arrow Connector 63"/>
        <xdr:cNvSpPr>
          <a:spLocks/>
        </xdr:cNvSpPr>
      </xdr:nvSpPr>
      <xdr:spPr>
        <a:xfrm>
          <a:off x="2085975" y="65855850"/>
          <a:ext cx="55340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204</xdr:row>
      <xdr:rowOff>180975</xdr:rowOff>
    </xdr:from>
    <xdr:to>
      <xdr:col>6</xdr:col>
      <xdr:colOff>0</xdr:colOff>
      <xdr:row>206</xdr:row>
      <xdr:rowOff>152400</xdr:rowOff>
    </xdr:to>
    <xdr:sp>
      <xdr:nvSpPr>
        <xdr:cNvPr id="63" name="Oval 5"/>
        <xdr:cNvSpPr>
          <a:spLocks/>
        </xdr:cNvSpPr>
      </xdr:nvSpPr>
      <xdr:spPr>
        <a:xfrm>
          <a:off x="10210800" y="64303275"/>
          <a:ext cx="2028825" cy="6000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3
</a:t>
          </a:r>
        </a:p>
      </xdr:txBody>
    </xdr:sp>
    <xdr:clientData/>
  </xdr:twoCellAnchor>
  <xdr:twoCellAnchor>
    <xdr:from>
      <xdr:col>13</xdr:col>
      <xdr:colOff>28575</xdr:colOff>
      <xdr:row>205</xdr:row>
      <xdr:rowOff>66675</xdr:rowOff>
    </xdr:from>
    <xdr:to>
      <xdr:col>13</xdr:col>
      <xdr:colOff>419100</xdr:colOff>
      <xdr:row>207</xdr:row>
      <xdr:rowOff>19050</xdr:rowOff>
    </xdr:to>
    <xdr:sp>
      <xdr:nvSpPr>
        <xdr:cNvPr id="64" name="Oval 4"/>
        <xdr:cNvSpPr>
          <a:spLocks/>
        </xdr:cNvSpPr>
      </xdr:nvSpPr>
      <xdr:spPr>
        <a:xfrm>
          <a:off x="23774400" y="64503300"/>
          <a:ext cx="390525" cy="5810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9
</a:t>
          </a:r>
        </a:p>
      </xdr:txBody>
    </xdr:sp>
    <xdr:clientData/>
  </xdr:twoCellAnchor>
  <xdr:twoCellAnchor>
    <xdr:from>
      <xdr:col>15</xdr:col>
      <xdr:colOff>457200</xdr:colOff>
      <xdr:row>205</xdr:row>
      <xdr:rowOff>133350</xdr:rowOff>
    </xdr:from>
    <xdr:to>
      <xdr:col>16</xdr:col>
      <xdr:colOff>304800</xdr:colOff>
      <xdr:row>208</xdr:row>
      <xdr:rowOff>0</xdr:rowOff>
    </xdr:to>
    <xdr:sp>
      <xdr:nvSpPr>
        <xdr:cNvPr id="65" name="Oval 4"/>
        <xdr:cNvSpPr>
          <a:spLocks/>
        </xdr:cNvSpPr>
      </xdr:nvSpPr>
      <xdr:spPr>
        <a:xfrm>
          <a:off x="27403425" y="64569975"/>
          <a:ext cx="1438275" cy="8096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10
</a:t>
          </a:r>
        </a:p>
      </xdr:txBody>
    </xdr:sp>
    <xdr:clientData/>
  </xdr:twoCellAnchor>
  <xdr:twoCellAnchor>
    <xdr:from>
      <xdr:col>18</xdr:col>
      <xdr:colOff>104775</xdr:colOff>
      <xdr:row>205</xdr:row>
      <xdr:rowOff>171450</xdr:rowOff>
    </xdr:from>
    <xdr:to>
      <xdr:col>18</xdr:col>
      <xdr:colOff>561975</xdr:colOff>
      <xdr:row>208</xdr:row>
      <xdr:rowOff>28575</xdr:rowOff>
    </xdr:to>
    <xdr:sp>
      <xdr:nvSpPr>
        <xdr:cNvPr id="66" name="Oval 4"/>
        <xdr:cNvSpPr>
          <a:spLocks/>
        </xdr:cNvSpPr>
      </xdr:nvSpPr>
      <xdr:spPr>
        <a:xfrm>
          <a:off x="31832550" y="64608075"/>
          <a:ext cx="457200" cy="80010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11
</a:t>
          </a:r>
        </a:p>
      </xdr:txBody>
    </xdr:sp>
    <xdr:clientData/>
  </xdr:twoCellAnchor>
  <xdr:twoCellAnchor>
    <xdr:from>
      <xdr:col>5</xdr:col>
      <xdr:colOff>419100</xdr:colOff>
      <xdr:row>214</xdr:row>
      <xdr:rowOff>95250</xdr:rowOff>
    </xdr:from>
    <xdr:to>
      <xdr:col>7</xdr:col>
      <xdr:colOff>476250</xdr:colOff>
      <xdr:row>215</xdr:row>
      <xdr:rowOff>47625</xdr:rowOff>
    </xdr:to>
    <xdr:sp>
      <xdr:nvSpPr>
        <xdr:cNvPr id="67" name="Straight Arrow Connector 68"/>
        <xdr:cNvSpPr>
          <a:spLocks/>
        </xdr:cNvSpPr>
      </xdr:nvSpPr>
      <xdr:spPr>
        <a:xfrm>
          <a:off x="10334625" y="67360800"/>
          <a:ext cx="4295775"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206</xdr:row>
      <xdr:rowOff>76200</xdr:rowOff>
    </xdr:from>
    <xdr:to>
      <xdr:col>11</xdr:col>
      <xdr:colOff>66675</xdr:colOff>
      <xdr:row>210</xdr:row>
      <xdr:rowOff>142875</xdr:rowOff>
    </xdr:to>
    <xdr:sp>
      <xdr:nvSpPr>
        <xdr:cNvPr id="68" name="Straight Arrow Connector 69"/>
        <xdr:cNvSpPr>
          <a:spLocks/>
        </xdr:cNvSpPr>
      </xdr:nvSpPr>
      <xdr:spPr>
        <a:xfrm>
          <a:off x="12258675" y="64827150"/>
          <a:ext cx="8353425" cy="1323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142875</xdr:colOff>
      <xdr:row>215</xdr:row>
      <xdr:rowOff>47625</xdr:rowOff>
    </xdr:from>
    <xdr:to>
      <xdr:col>10</xdr:col>
      <xdr:colOff>247650</xdr:colOff>
      <xdr:row>215</xdr:row>
      <xdr:rowOff>47625</xdr:rowOff>
    </xdr:to>
    <xdr:sp>
      <xdr:nvSpPr>
        <xdr:cNvPr id="69" name="Straight Arrow Connector 70"/>
        <xdr:cNvSpPr>
          <a:spLocks/>
        </xdr:cNvSpPr>
      </xdr:nvSpPr>
      <xdr:spPr>
        <a:xfrm flipV="1">
          <a:off x="15897225" y="67627500"/>
          <a:ext cx="3305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66675</xdr:colOff>
      <xdr:row>212</xdr:row>
      <xdr:rowOff>19050</xdr:rowOff>
    </xdr:from>
    <xdr:to>
      <xdr:col>11</xdr:col>
      <xdr:colOff>257175</xdr:colOff>
      <xdr:row>214</xdr:row>
      <xdr:rowOff>104775</xdr:rowOff>
    </xdr:to>
    <xdr:sp>
      <xdr:nvSpPr>
        <xdr:cNvPr id="70" name="Straight Arrow Connector 71"/>
        <xdr:cNvSpPr>
          <a:spLocks/>
        </xdr:cNvSpPr>
      </xdr:nvSpPr>
      <xdr:spPr>
        <a:xfrm flipV="1">
          <a:off x="20612100" y="66655950"/>
          <a:ext cx="190500"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285750</xdr:colOff>
      <xdr:row>205</xdr:row>
      <xdr:rowOff>180975</xdr:rowOff>
    </xdr:from>
    <xdr:to>
      <xdr:col>12</xdr:col>
      <xdr:colOff>571500</xdr:colOff>
      <xdr:row>205</xdr:row>
      <xdr:rowOff>180975</xdr:rowOff>
    </xdr:to>
    <xdr:sp>
      <xdr:nvSpPr>
        <xdr:cNvPr id="71" name="Straight Arrow Connector 72"/>
        <xdr:cNvSpPr>
          <a:spLocks/>
        </xdr:cNvSpPr>
      </xdr:nvSpPr>
      <xdr:spPr>
        <a:xfrm flipV="1">
          <a:off x="17640300" y="64617600"/>
          <a:ext cx="50768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552450</xdr:colOff>
      <xdr:row>206</xdr:row>
      <xdr:rowOff>28575</xdr:rowOff>
    </xdr:from>
    <xdr:to>
      <xdr:col>15</xdr:col>
      <xdr:colOff>295275</xdr:colOff>
      <xdr:row>206</xdr:row>
      <xdr:rowOff>28575</xdr:rowOff>
    </xdr:to>
    <xdr:sp>
      <xdr:nvSpPr>
        <xdr:cNvPr id="72" name="Straight Arrow Connector 73"/>
        <xdr:cNvSpPr>
          <a:spLocks/>
        </xdr:cNvSpPr>
      </xdr:nvSpPr>
      <xdr:spPr>
        <a:xfrm>
          <a:off x="24298275" y="64779525"/>
          <a:ext cx="29432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206</xdr:row>
      <xdr:rowOff>123825</xdr:rowOff>
    </xdr:from>
    <xdr:to>
      <xdr:col>20</xdr:col>
      <xdr:colOff>352425</xdr:colOff>
      <xdr:row>206</xdr:row>
      <xdr:rowOff>123825</xdr:rowOff>
    </xdr:to>
    <xdr:sp>
      <xdr:nvSpPr>
        <xdr:cNvPr id="73" name="Straight Arrow Connector 74"/>
        <xdr:cNvSpPr>
          <a:spLocks/>
        </xdr:cNvSpPr>
      </xdr:nvSpPr>
      <xdr:spPr>
        <a:xfrm>
          <a:off x="33318450" y="64874775"/>
          <a:ext cx="19526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314325</xdr:colOff>
      <xdr:row>206</xdr:row>
      <xdr:rowOff>123825</xdr:rowOff>
    </xdr:from>
    <xdr:to>
      <xdr:col>18</xdr:col>
      <xdr:colOff>57150</xdr:colOff>
      <xdr:row>206</xdr:row>
      <xdr:rowOff>123825</xdr:rowOff>
    </xdr:to>
    <xdr:sp>
      <xdr:nvSpPr>
        <xdr:cNvPr id="74" name="Straight Arrow Connector 75"/>
        <xdr:cNvSpPr>
          <a:spLocks/>
        </xdr:cNvSpPr>
      </xdr:nvSpPr>
      <xdr:spPr>
        <a:xfrm>
          <a:off x="28851225" y="64874775"/>
          <a:ext cx="2933700"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333375</xdr:colOff>
      <xdr:row>211</xdr:row>
      <xdr:rowOff>28575</xdr:rowOff>
    </xdr:from>
    <xdr:to>
      <xdr:col>1</xdr:col>
      <xdr:colOff>323850</xdr:colOff>
      <xdr:row>212</xdr:row>
      <xdr:rowOff>85725</xdr:rowOff>
    </xdr:to>
    <xdr:sp>
      <xdr:nvSpPr>
        <xdr:cNvPr id="75" name="TextBox 76"/>
        <xdr:cNvSpPr txBox="1">
          <a:spLocks noChangeArrowheads="1"/>
        </xdr:cNvSpPr>
      </xdr:nvSpPr>
      <xdr:spPr>
        <a:xfrm>
          <a:off x="333375" y="66351150"/>
          <a:ext cx="158115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0        0           </a:t>
          </a:r>
        </a:p>
      </xdr:txBody>
    </xdr:sp>
    <xdr:clientData/>
  </xdr:twoCellAnchor>
  <xdr:twoCellAnchor>
    <xdr:from>
      <xdr:col>1</xdr:col>
      <xdr:colOff>19050</xdr:colOff>
      <xdr:row>211</xdr:row>
      <xdr:rowOff>28575</xdr:rowOff>
    </xdr:from>
    <xdr:to>
      <xdr:col>1</xdr:col>
      <xdr:colOff>19050</xdr:colOff>
      <xdr:row>212</xdr:row>
      <xdr:rowOff>85725</xdr:rowOff>
    </xdr:to>
    <xdr:sp>
      <xdr:nvSpPr>
        <xdr:cNvPr id="76" name="Straight Connector 77"/>
        <xdr:cNvSpPr>
          <a:spLocks/>
        </xdr:cNvSpPr>
      </xdr:nvSpPr>
      <xdr:spPr>
        <a:xfrm>
          <a:off x="1609725" y="6635115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514350</xdr:colOff>
      <xdr:row>211</xdr:row>
      <xdr:rowOff>47625</xdr:rowOff>
    </xdr:from>
    <xdr:to>
      <xdr:col>4</xdr:col>
      <xdr:colOff>190500</xdr:colOff>
      <xdr:row>212</xdr:row>
      <xdr:rowOff>104775</xdr:rowOff>
    </xdr:to>
    <xdr:sp>
      <xdr:nvSpPr>
        <xdr:cNvPr id="77" name="TextBox 78"/>
        <xdr:cNvSpPr txBox="1">
          <a:spLocks noChangeArrowheads="1"/>
        </xdr:cNvSpPr>
      </xdr:nvSpPr>
      <xdr:spPr>
        <a:xfrm>
          <a:off x="3705225" y="66370200"/>
          <a:ext cx="407670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4     4</a:t>
          </a:r>
        </a:p>
      </xdr:txBody>
    </xdr:sp>
    <xdr:clientData/>
  </xdr:twoCellAnchor>
  <xdr:twoCellAnchor>
    <xdr:from>
      <xdr:col>6</xdr:col>
      <xdr:colOff>0</xdr:colOff>
      <xdr:row>203</xdr:row>
      <xdr:rowOff>0</xdr:rowOff>
    </xdr:from>
    <xdr:to>
      <xdr:col>6</xdr:col>
      <xdr:colOff>600075</xdr:colOff>
      <xdr:row>204</xdr:row>
      <xdr:rowOff>57150</xdr:rowOff>
    </xdr:to>
    <xdr:sp>
      <xdr:nvSpPr>
        <xdr:cNvPr id="78" name="TextBox 79"/>
        <xdr:cNvSpPr txBox="1">
          <a:spLocks noChangeArrowheads="1"/>
        </xdr:cNvSpPr>
      </xdr:nvSpPr>
      <xdr:spPr>
        <a:xfrm>
          <a:off x="12239625" y="63807975"/>
          <a:ext cx="6000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5    5</a:t>
          </a:r>
        </a:p>
      </xdr:txBody>
    </xdr:sp>
    <xdr:clientData/>
  </xdr:twoCellAnchor>
  <xdr:twoCellAnchor>
    <xdr:from>
      <xdr:col>20</xdr:col>
      <xdr:colOff>219075</xdr:colOff>
      <xdr:row>209</xdr:row>
      <xdr:rowOff>0</xdr:rowOff>
    </xdr:from>
    <xdr:to>
      <xdr:col>21</xdr:col>
      <xdr:colOff>0</xdr:colOff>
      <xdr:row>210</xdr:row>
      <xdr:rowOff>57150</xdr:rowOff>
    </xdr:to>
    <xdr:sp>
      <xdr:nvSpPr>
        <xdr:cNvPr id="79" name="TextBox 80"/>
        <xdr:cNvSpPr txBox="1">
          <a:spLocks noChangeArrowheads="1"/>
        </xdr:cNvSpPr>
      </xdr:nvSpPr>
      <xdr:spPr>
        <a:xfrm>
          <a:off x="35137725" y="65693925"/>
          <a:ext cx="137160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63   63</a:t>
          </a:r>
        </a:p>
      </xdr:txBody>
    </xdr:sp>
    <xdr:clientData/>
  </xdr:twoCellAnchor>
  <xdr:twoCellAnchor>
    <xdr:from>
      <xdr:col>18</xdr:col>
      <xdr:colOff>552450</xdr:colOff>
      <xdr:row>218</xdr:row>
      <xdr:rowOff>104775</xdr:rowOff>
    </xdr:from>
    <xdr:to>
      <xdr:col>19</xdr:col>
      <xdr:colOff>542925</xdr:colOff>
      <xdr:row>219</xdr:row>
      <xdr:rowOff>161925</xdr:rowOff>
    </xdr:to>
    <xdr:sp>
      <xdr:nvSpPr>
        <xdr:cNvPr id="80" name="TextBox 81"/>
        <xdr:cNvSpPr txBox="1">
          <a:spLocks noChangeArrowheads="1"/>
        </xdr:cNvSpPr>
      </xdr:nvSpPr>
      <xdr:spPr>
        <a:xfrm>
          <a:off x="32280225" y="68627625"/>
          <a:ext cx="158115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215</xdr:row>
      <xdr:rowOff>57150</xdr:rowOff>
    </xdr:from>
    <xdr:to>
      <xdr:col>5</xdr:col>
      <xdr:colOff>200025</xdr:colOff>
      <xdr:row>216</xdr:row>
      <xdr:rowOff>114300</xdr:rowOff>
    </xdr:to>
    <xdr:sp>
      <xdr:nvSpPr>
        <xdr:cNvPr id="81" name="TextBox 82"/>
        <xdr:cNvSpPr txBox="1">
          <a:spLocks noChangeArrowheads="1"/>
        </xdr:cNvSpPr>
      </xdr:nvSpPr>
      <xdr:spPr>
        <a:xfrm>
          <a:off x="7800975" y="67637025"/>
          <a:ext cx="23145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9      34</a:t>
          </a:r>
        </a:p>
      </xdr:txBody>
    </xdr:sp>
    <xdr:clientData/>
  </xdr:twoCellAnchor>
  <xdr:twoCellAnchor>
    <xdr:from>
      <xdr:col>8</xdr:col>
      <xdr:colOff>0</xdr:colOff>
      <xdr:row>217</xdr:row>
      <xdr:rowOff>0</xdr:rowOff>
    </xdr:from>
    <xdr:to>
      <xdr:col>8</xdr:col>
      <xdr:colOff>561975</xdr:colOff>
      <xdr:row>218</xdr:row>
      <xdr:rowOff>85725</xdr:rowOff>
    </xdr:to>
    <xdr:sp>
      <xdr:nvSpPr>
        <xdr:cNvPr id="82" name="TextBox 83"/>
        <xdr:cNvSpPr txBox="1">
          <a:spLocks noChangeArrowheads="1"/>
        </xdr:cNvSpPr>
      </xdr:nvSpPr>
      <xdr:spPr>
        <a:xfrm>
          <a:off x="15754350" y="68208525"/>
          <a:ext cx="561975"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11   36</a:t>
          </a:r>
        </a:p>
      </xdr:txBody>
    </xdr:sp>
    <xdr:clientData/>
  </xdr:twoCellAnchor>
  <xdr:twoCellAnchor>
    <xdr:from>
      <xdr:col>11</xdr:col>
      <xdr:colOff>0</xdr:colOff>
      <xdr:row>217</xdr:row>
      <xdr:rowOff>0</xdr:rowOff>
    </xdr:from>
    <xdr:to>
      <xdr:col>12</xdr:col>
      <xdr:colOff>38100</xdr:colOff>
      <xdr:row>218</xdr:row>
      <xdr:rowOff>95250</xdr:rowOff>
    </xdr:to>
    <xdr:sp>
      <xdr:nvSpPr>
        <xdr:cNvPr id="83" name="TextBox 84"/>
        <xdr:cNvSpPr txBox="1">
          <a:spLocks noChangeArrowheads="1"/>
        </xdr:cNvSpPr>
      </xdr:nvSpPr>
      <xdr:spPr>
        <a:xfrm>
          <a:off x="20545425" y="68208525"/>
          <a:ext cx="1638300" cy="409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14  39</a:t>
          </a:r>
        </a:p>
      </xdr:txBody>
    </xdr:sp>
    <xdr:clientData/>
  </xdr:twoCellAnchor>
  <xdr:twoCellAnchor>
    <xdr:from>
      <xdr:col>12</xdr:col>
      <xdr:colOff>257175</xdr:colOff>
      <xdr:row>211</xdr:row>
      <xdr:rowOff>85725</xdr:rowOff>
    </xdr:from>
    <xdr:to>
      <xdr:col>13</xdr:col>
      <xdr:colOff>276225</xdr:colOff>
      <xdr:row>212</xdr:row>
      <xdr:rowOff>142875</xdr:rowOff>
    </xdr:to>
    <xdr:sp>
      <xdr:nvSpPr>
        <xdr:cNvPr id="84" name="TextBox 85"/>
        <xdr:cNvSpPr txBox="1">
          <a:spLocks noChangeArrowheads="1"/>
        </xdr:cNvSpPr>
      </xdr:nvSpPr>
      <xdr:spPr>
        <a:xfrm>
          <a:off x="22402800" y="66408300"/>
          <a:ext cx="161925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18   43</a:t>
          </a:r>
        </a:p>
      </xdr:txBody>
    </xdr:sp>
    <xdr:clientData/>
  </xdr:twoCellAnchor>
  <xdr:twoCellAnchor>
    <xdr:from>
      <xdr:col>15</xdr:col>
      <xdr:colOff>371475</xdr:colOff>
      <xdr:row>208</xdr:row>
      <xdr:rowOff>142875</xdr:rowOff>
    </xdr:from>
    <xdr:to>
      <xdr:col>16</xdr:col>
      <xdr:colOff>361950</xdr:colOff>
      <xdr:row>210</xdr:row>
      <xdr:rowOff>9525</xdr:rowOff>
    </xdr:to>
    <xdr:sp>
      <xdr:nvSpPr>
        <xdr:cNvPr id="85" name="TextBox 86"/>
        <xdr:cNvSpPr txBox="1">
          <a:spLocks noChangeArrowheads="1"/>
        </xdr:cNvSpPr>
      </xdr:nvSpPr>
      <xdr:spPr>
        <a:xfrm>
          <a:off x="27317700" y="65522475"/>
          <a:ext cx="1581150" cy="4953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60    60</a:t>
          </a:r>
        </a:p>
      </xdr:txBody>
    </xdr:sp>
    <xdr:clientData/>
  </xdr:twoCellAnchor>
  <xdr:twoCellAnchor>
    <xdr:from>
      <xdr:col>17</xdr:col>
      <xdr:colOff>590550</xdr:colOff>
      <xdr:row>203</xdr:row>
      <xdr:rowOff>104775</xdr:rowOff>
    </xdr:from>
    <xdr:to>
      <xdr:col>18</xdr:col>
      <xdr:colOff>581025</xdr:colOff>
      <xdr:row>204</xdr:row>
      <xdr:rowOff>161925</xdr:rowOff>
    </xdr:to>
    <xdr:sp>
      <xdr:nvSpPr>
        <xdr:cNvPr id="86" name="TextBox 87"/>
        <xdr:cNvSpPr txBox="1">
          <a:spLocks noChangeArrowheads="1"/>
        </xdr:cNvSpPr>
      </xdr:nvSpPr>
      <xdr:spPr>
        <a:xfrm>
          <a:off x="30718125" y="63912750"/>
          <a:ext cx="15906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62    62</a:t>
          </a:r>
        </a:p>
      </xdr:txBody>
    </xdr:sp>
    <xdr:clientData/>
  </xdr:twoCellAnchor>
  <xdr:twoCellAnchor>
    <xdr:from>
      <xdr:col>13</xdr:col>
      <xdr:colOff>200025</xdr:colOff>
      <xdr:row>203</xdr:row>
      <xdr:rowOff>57150</xdr:rowOff>
    </xdr:from>
    <xdr:to>
      <xdr:col>14</xdr:col>
      <xdr:colOff>190500</xdr:colOff>
      <xdr:row>204</xdr:row>
      <xdr:rowOff>114300</xdr:rowOff>
    </xdr:to>
    <xdr:sp>
      <xdr:nvSpPr>
        <xdr:cNvPr id="87" name="TextBox 88"/>
        <xdr:cNvSpPr txBox="1">
          <a:spLocks noChangeArrowheads="1"/>
        </xdr:cNvSpPr>
      </xdr:nvSpPr>
      <xdr:spPr>
        <a:xfrm>
          <a:off x="23945850" y="63865125"/>
          <a:ext cx="15906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57   57</a:t>
          </a:r>
        </a:p>
      </xdr:txBody>
    </xdr:sp>
    <xdr:clientData/>
  </xdr:twoCellAnchor>
  <xdr:twoCellAnchor>
    <xdr:from>
      <xdr:col>8</xdr:col>
      <xdr:colOff>0</xdr:colOff>
      <xdr:row>203</xdr:row>
      <xdr:rowOff>0</xdr:rowOff>
    </xdr:from>
    <xdr:to>
      <xdr:col>8</xdr:col>
      <xdr:colOff>600075</xdr:colOff>
      <xdr:row>204</xdr:row>
      <xdr:rowOff>57150</xdr:rowOff>
    </xdr:to>
    <xdr:sp>
      <xdr:nvSpPr>
        <xdr:cNvPr id="88" name="TextBox 89"/>
        <xdr:cNvSpPr txBox="1">
          <a:spLocks noChangeArrowheads="1"/>
        </xdr:cNvSpPr>
      </xdr:nvSpPr>
      <xdr:spPr>
        <a:xfrm>
          <a:off x="15754350" y="63807975"/>
          <a:ext cx="6000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17   17    </a:t>
          </a:r>
        </a:p>
      </xdr:txBody>
    </xdr:sp>
    <xdr:clientData/>
  </xdr:twoCellAnchor>
  <xdr:twoCellAnchor>
    <xdr:from>
      <xdr:col>2</xdr:col>
      <xdr:colOff>819150</xdr:colOff>
      <xdr:row>211</xdr:row>
      <xdr:rowOff>47625</xdr:rowOff>
    </xdr:from>
    <xdr:to>
      <xdr:col>2</xdr:col>
      <xdr:colOff>819150</xdr:colOff>
      <xdr:row>212</xdr:row>
      <xdr:rowOff>104775</xdr:rowOff>
    </xdr:to>
    <xdr:sp>
      <xdr:nvSpPr>
        <xdr:cNvPr id="89" name="Straight Connector 90"/>
        <xdr:cNvSpPr>
          <a:spLocks/>
        </xdr:cNvSpPr>
      </xdr:nvSpPr>
      <xdr:spPr>
        <a:xfrm>
          <a:off x="4010025" y="6637020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523875</xdr:colOff>
      <xdr:row>215</xdr:row>
      <xdr:rowOff>66675</xdr:rowOff>
    </xdr:from>
    <xdr:to>
      <xdr:col>4</xdr:col>
      <xdr:colOff>523875</xdr:colOff>
      <xdr:row>216</xdr:row>
      <xdr:rowOff>123825</xdr:rowOff>
    </xdr:to>
    <xdr:sp>
      <xdr:nvSpPr>
        <xdr:cNvPr id="90" name="Straight Connector 91"/>
        <xdr:cNvSpPr>
          <a:spLocks/>
        </xdr:cNvSpPr>
      </xdr:nvSpPr>
      <xdr:spPr>
        <a:xfrm>
          <a:off x="8115300" y="6764655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285750</xdr:colOff>
      <xdr:row>203</xdr:row>
      <xdr:rowOff>0</xdr:rowOff>
    </xdr:from>
    <xdr:to>
      <xdr:col>8</xdr:col>
      <xdr:colOff>285750</xdr:colOff>
      <xdr:row>204</xdr:row>
      <xdr:rowOff>57150</xdr:rowOff>
    </xdr:to>
    <xdr:sp>
      <xdr:nvSpPr>
        <xdr:cNvPr id="91" name="Straight Connector 92"/>
        <xdr:cNvSpPr>
          <a:spLocks/>
        </xdr:cNvSpPr>
      </xdr:nvSpPr>
      <xdr:spPr>
        <a:xfrm>
          <a:off x="16040100" y="63807975"/>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203</xdr:row>
      <xdr:rowOff>19050</xdr:rowOff>
    </xdr:from>
    <xdr:to>
      <xdr:col>6</xdr:col>
      <xdr:colOff>257175</xdr:colOff>
      <xdr:row>204</xdr:row>
      <xdr:rowOff>76200</xdr:rowOff>
    </xdr:to>
    <xdr:sp>
      <xdr:nvSpPr>
        <xdr:cNvPr id="92" name="Straight Connector 93"/>
        <xdr:cNvSpPr>
          <a:spLocks/>
        </xdr:cNvSpPr>
      </xdr:nvSpPr>
      <xdr:spPr>
        <a:xfrm>
          <a:off x="12496800" y="63827025"/>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285750</xdr:colOff>
      <xdr:row>217</xdr:row>
      <xdr:rowOff>0</xdr:rowOff>
    </xdr:from>
    <xdr:to>
      <xdr:col>8</xdr:col>
      <xdr:colOff>285750</xdr:colOff>
      <xdr:row>218</xdr:row>
      <xdr:rowOff>85725</xdr:rowOff>
    </xdr:to>
    <xdr:sp>
      <xdr:nvSpPr>
        <xdr:cNvPr id="93" name="Straight Connector 94"/>
        <xdr:cNvSpPr>
          <a:spLocks/>
        </xdr:cNvSpPr>
      </xdr:nvSpPr>
      <xdr:spPr>
        <a:xfrm>
          <a:off x="16040100" y="68208525"/>
          <a:ext cx="0"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514350</xdr:colOff>
      <xdr:row>209</xdr:row>
      <xdr:rowOff>19050</xdr:rowOff>
    </xdr:from>
    <xdr:to>
      <xdr:col>20</xdr:col>
      <xdr:colOff>514350</xdr:colOff>
      <xdr:row>210</xdr:row>
      <xdr:rowOff>76200</xdr:rowOff>
    </xdr:to>
    <xdr:sp>
      <xdr:nvSpPr>
        <xdr:cNvPr id="94" name="Straight Connector 95"/>
        <xdr:cNvSpPr>
          <a:spLocks/>
        </xdr:cNvSpPr>
      </xdr:nvSpPr>
      <xdr:spPr>
        <a:xfrm>
          <a:off x="35433000" y="65712975"/>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247650</xdr:colOff>
      <xdr:row>217</xdr:row>
      <xdr:rowOff>0</xdr:rowOff>
    </xdr:from>
    <xdr:to>
      <xdr:col>11</xdr:col>
      <xdr:colOff>247650</xdr:colOff>
      <xdr:row>218</xdr:row>
      <xdr:rowOff>95250</xdr:rowOff>
    </xdr:to>
    <xdr:sp>
      <xdr:nvSpPr>
        <xdr:cNvPr id="95" name="Straight Connector 96"/>
        <xdr:cNvSpPr>
          <a:spLocks/>
        </xdr:cNvSpPr>
      </xdr:nvSpPr>
      <xdr:spPr>
        <a:xfrm>
          <a:off x="20793075" y="68208525"/>
          <a:ext cx="0" cy="409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285750</xdr:colOff>
      <xdr:row>203</xdr:row>
      <xdr:rowOff>123825</xdr:rowOff>
    </xdr:from>
    <xdr:to>
      <xdr:col>18</xdr:col>
      <xdr:colOff>285750</xdr:colOff>
      <xdr:row>204</xdr:row>
      <xdr:rowOff>180975</xdr:rowOff>
    </xdr:to>
    <xdr:sp>
      <xdr:nvSpPr>
        <xdr:cNvPr id="96" name="Straight Connector 97"/>
        <xdr:cNvSpPr>
          <a:spLocks/>
        </xdr:cNvSpPr>
      </xdr:nvSpPr>
      <xdr:spPr>
        <a:xfrm>
          <a:off x="32013525" y="6393180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552450</xdr:colOff>
      <xdr:row>211</xdr:row>
      <xdr:rowOff>95250</xdr:rowOff>
    </xdr:from>
    <xdr:to>
      <xdr:col>12</xdr:col>
      <xdr:colOff>552450</xdr:colOff>
      <xdr:row>212</xdr:row>
      <xdr:rowOff>152400</xdr:rowOff>
    </xdr:to>
    <xdr:sp>
      <xdr:nvSpPr>
        <xdr:cNvPr id="97" name="Straight Connector 98"/>
        <xdr:cNvSpPr>
          <a:spLocks/>
        </xdr:cNvSpPr>
      </xdr:nvSpPr>
      <xdr:spPr>
        <a:xfrm>
          <a:off x="22698075" y="66417825"/>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57150</xdr:colOff>
      <xdr:row>208</xdr:row>
      <xdr:rowOff>152400</xdr:rowOff>
    </xdr:from>
    <xdr:to>
      <xdr:col>16</xdr:col>
      <xdr:colOff>57150</xdr:colOff>
      <xdr:row>210</xdr:row>
      <xdr:rowOff>19050</xdr:rowOff>
    </xdr:to>
    <xdr:sp>
      <xdr:nvSpPr>
        <xdr:cNvPr id="98" name="Straight Connector 99"/>
        <xdr:cNvSpPr>
          <a:spLocks/>
        </xdr:cNvSpPr>
      </xdr:nvSpPr>
      <xdr:spPr>
        <a:xfrm>
          <a:off x="28594050" y="65532000"/>
          <a:ext cx="0" cy="495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207</xdr:row>
      <xdr:rowOff>104775</xdr:rowOff>
    </xdr:from>
    <xdr:to>
      <xdr:col>13</xdr:col>
      <xdr:colOff>123825</xdr:colOff>
      <xdr:row>210</xdr:row>
      <xdr:rowOff>47625</xdr:rowOff>
    </xdr:to>
    <xdr:sp>
      <xdr:nvSpPr>
        <xdr:cNvPr id="99" name="Straight Arrow Connector 100"/>
        <xdr:cNvSpPr>
          <a:spLocks/>
        </xdr:cNvSpPr>
      </xdr:nvSpPr>
      <xdr:spPr>
        <a:xfrm flipV="1">
          <a:off x="22298025" y="65170050"/>
          <a:ext cx="1571625" cy="885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142875</xdr:colOff>
      <xdr:row>210</xdr:row>
      <xdr:rowOff>19050</xdr:rowOff>
    </xdr:from>
    <xdr:to>
      <xdr:col>12</xdr:col>
      <xdr:colOff>66675</xdr:colOff>
      <xdr:row>211</xdr:row>
      <xdr:rowOff>180975</xdr:rowOff>
    </xdr:to>
    <xdr:sp>
      <xdr:nvSpPr>
        <xdr:cNvPr id="100" name="Oval 101"/>
        <xdr:cNvSpPr>
          <a:spLocks/>
        </xdr:cNvSpPr>
      </xdr:nvSpPr>
      <xdr:spPr>
        <a:xfrm>
          <a:off x="20688300" y="66027300"/>
          <a:ext cx="1524000" cy="4762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8</a:t>
          </a:r>
        </a:p>
      </xdr:txBody>
    </xdr:sp>
    <xdr:clientData/>
  </xdr:twoCellAnchor>
  <xdr:twoCellAnchor>
    <xdr:from>
      <xdr:col>5</xdr:col>
      <xdr:colOff>438150</xdr:colOff>
      <xdr:row>207</xdr:row>
      <xdr:rowOff>114300</xdr:rowOff>
    </xdr:from>
    <xdr:to>
      <xdr:col>5</xdr:col>
      <xdr:colOff>438150</xdr:colOff>
      <xdr:row>213</xdr:row>
      <xdr:rowOff>28575</xdr:rowOff>
    </xdr:to>
    <xdr:sp>
      <xdr:nvSpPr>
        <xdr:cNvPr id="101" name="Straight Arrow Connector 102"/>
        <xdr:cNvSpPr>
          <a:spLocks/>
        </xdr:cNvSpPr>
      </xdr:nvSpPr>
      <xdr:spPr>
        <a:xfrm flipH="1" flipV="1">
          <a:off x="10353675" y="65179575"/>
          <a:ext cx="0" cy="1800225"/>
        </a:xfrm>
        <a:prstGeom prst="straightConnector1">
          <a:avLst/>
        </a:prstGeom>
        <a:noFill/>
        <a:ln w="9525" cmpd="sng">
          <a:solidFill>
            <a:srgbClr val="FF0000"/>
          </a:solidFill>
          <a:prstDash val="dash"/>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485775</xdr:colOff>
      <xdr:row>203</xdr:row>
      <xdr:rowOff>66675</xdr:rowOff>
    </xdr:from>
    <xdr:to>
      <xdr:col>13</xdr:col>
      <xdr:colOff>485775</xdr:colOff>
      <xdr:row>204</xdr:row>
      <xdr:rowOff>123825</xdr:rowOff>
    </xdr:to>
    <xdr:sp>
      <xdr:nvSpPr>
        <xdr:cNvPr id="102" name="Straight Connector 103"/>
        <xdr:cNvSpPr>
          <a:spLocks/>
        </xdr:cNvSpPr>
      </xdr:nvSpPr>
      <xdr:spPr>
        <a:xfrm>
          <a:off x="24231600" y="63874650"/>
          <a:ext cx="0"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642</xdr:row>
      <xdr:rowOff>28575</xdr:rowOff>
    </xdr:from>
    <xdr:to>
      <xdr:col>3</xdr:col>
      <xdr:colOff>0</xdr:colOff>
      <xdr:row>644</xdr:row>
      <xdr:rowOff>0</xdr:rowOff>
    </xdr:to>
    <xdr:sp>
      <xdr:nvSpPr>
        <xdr:cNvPr id="103" name="Straight Connector 104"/>
        <xdr:cNvSpPr>
          <a:spLocks/>
        </xdr:cNvSpPr>
      </xdr:nvSpPr>
      <xdr:spPr>
        <a:xfrm>
          <a:off x="3209925" y="201825225"/>
          <a:ext cx="2181225" cy="600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7</xdr:col>
      <xdr:colOff>295275</xdr:colOff>
      <xdr:row>25</xdr:row>
      <xdr:rowOff>190500</xdr:rowOff>
    </xdr:from>
    <xdr:ext cx="4238625" cy="942975"/>
    <xdr:sp>
      <xdr:nvSpPr>
        <xdr:cNvPr id="104" name="Rectangle 105"/>
        <xdr:cNvSpPr>
          <a:spLocks/>
        </xdr:cNvSpPr>
      </xdr:nvSpPr>
      <xdr:spPr>
        <a:xfrm>
          <a:off x="14449425" y="8048625"/>
          <a:ext cx="4238625"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10</xdr:col>
      <xdr:colOff>990600</xdr:colOff>
      <xdr:row>168</xdr:row>
      <xdr:rowOff>76200</xdr:rowOff>
    </xdr:from>
    <xdr:ext cx="4229100" cy="942975"/>
    <xdr:sp>
      <xdr:nvSpPr>
        <xdr:cNvPr id="105" name="Rectangle 106"/>
        <xdr:cNvSpPr>
          <a:spLocks/>
        </xdr:cNvSpPr>
      </xdr:nvSpPr>
      <xdr:spPr>
        <a:xfrm>
          <a:off x="19945350" y="52882800"/>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12</xdr:col>
      <xdr:colOff>409575</xdr:colOff>
      <xdr:row>255</xdr:row>
      <xdr:rowOff>76200</xdr:rowOff>
    </xdr:from>
    <xdr:ext cx="4229100" cy="942975"/>
    <xdr:sp>
      <xdr:nvSpPr>
        <xdr:cNvPr id="106" name="Rectangle 107"/>
        <xdr:cNvSpPr>
          <a:spLocks/>
        </xdr:cNvSpPr>
      </xdr:nvSpPr>
      <xdr:spPr>
        <a:xfrm>
          <a:off x="22555200" y="80229075"/>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10</xdr:col>
      <xdr:colOff>0</xdr:colOff>
      <xdr:row>311</xdr:row>
      <xdr:rowOff>95250</xdr:rowOff>
    </xdr:from>
    <xdr:ext cx="4238625" cy="933450"/>
    <xdr:sp>
      <xdr:nvSpPr>
        <xdr:cNvPr id="107" name="Rectangle 108"/>
        <xdr:cNvSpPr>
          <a:spLocks/>
        </xdr:cNvSpPr>
      </xdr:nvSpPr>
      <xdr:spPr>
        <a:xfrm>
          <a:off x="18954750" y="97850325"/>
          <a:ext cx="4238625" cy="933450"/>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8</xdr:col>
      <xdr:colOff>38100</xdr:colOff>
      <xdr:row>375</xdr:row>
      <xdr:rowOff>133350</xdr:rowOff>
    </xdr:from>
    <xdr:ext cx="4229100" cy="942975"/>
    <xdr:sp>
      <xdr:nvSpPr>
        <xdr:cNvPr id="108" name="Rectangle 109"/>
        <xdr:cNvSpPr>
          <a:spLocks/>
        </xdr:cNvSpPr>
      </xdr:nvSpPr>
      <xdr:spPr>
        <a:xfrm>
          <a:off x="15792450" y="118005225"/>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10</xdr:col>
      <xdr:colOff>581025</xdr:colOff>
      <xdr:row>427</xdr:row>
      <xdr:rowOff>0</xdr:rowOff>
    </xdr:from>
    <xdr:ext cx="4229100" cy="942975"/>
    <xdr:sp>
      <xdr:nvSpPr>
        <xdr:cNvPr id="109" name="Rectangle 110"/>
        <xdr:cNvSpPr>
          <a:spLocks/>
        </xdr:cNvSpPr>
      </xdr:nvSpPr>
      <xdr:spPr>
        <a:xfrm>
          <a:off x="19535775" y="134216775"/>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12</xdr:col>
      <xdr:colOff>0</xdr:colOff>
      <xdr:row>538</xdr:row>
      <xdr:rowOff>0</xdr:rowOff>
    </xdr:from>
    <xdr:ext cx="4229100" cy="942975"/>
    <xdr:sp>
      <xdr:nvSpPr>
        <xdr:cNvPr id="110" name="Rectangle 111"/>
        <xdr:cNvSpPr>
          <a:spLocks/>
        </xdr:cNvSpPr>
      </xdr:nvSpPr>
      <xdr:spPr>
        <a:xfrm>
          <a:off x="22145625" y="169106850"/>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11</xdr:col>
      <xdr:colOff>0</xdr:colOff>
      <xdr:row>618</xdr:row>
      <xdr:rowOff>0</xdr:rowOff>
    </xdr:from>
    <xdr:ext cx="4229100" cy="942975"/>
    <xdr:sp>
      <xdr:nvSpPr>
        <xdr:cNvPr id="111" name="Rectangle 112"/>
        <xdr:cNvSpPr>
          <a:spLocks/>
        </xdr:cNvSpPr>
      </xdr:nvSpPr>
      <xdr:spPr>
        <a:xfrm>
          <a:off x="20545425" y="194252850"/>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13</xdr:col>
      <xdr:colOff>0</xdr:colOff>
      <xdr:row>655</xdr:row>
      <xdr:rowOff>0</xdr:rowOff>
    </xdr:from>
    <xdr:ext cx="4229100" cy="942975"/>
    <xdr:sp>
      <xdr:nvSpPr>
        <xdr:cNvPr id="112" name="Rectangle 113"/>
        <xdr:cNvSpPr>
          <a:spLocks/>
        </xdr:cNvSpPr>
      </xdr:nvSpPr>
      <xdr:spPr>
        <a:xfrm>
          <a:off x="23745825" y="205882875"/>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8</xdr:col>
      <xdr:colOff>0</xdr:colOff>
      <xdr:row>685</xdr:row>
      <xdr:rowOff>0</xdr:rowOff>
    </xdr:from>
    <xdr:ext cx="4229100" cy="942975"/>
    <xdr:sp>
      <xdr:nvSpPr>
        <xdr:cNvPr id="113" name="Rectangle 114"/>
        <xdr:cNvSpPr>
          <a:spLocks/>
        </xdr:cNvSpPr>
      </xdr:nvSpPr>
      <xdr:spPr>
        <a:xfrm>
          <a:off x="15754350" y="215312625"/>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11</xdr:col>
      <xdr:colOff>0</xdr:colOff>
      <xdr:row>727</xdr:row>
      <xdr:rowOff>0</xdr:rowOff>
    </xdr:from>
    <xdr:ext cx="4229100" cy="942975"/>
    <xdr:sp>
      <xdr:nvSpPr>
        <xdr:cNvPr id="114" name="Rectangle 115"/>
        <xdr:cNvSpPr>
          <a:spLocks/>
        </xdr:cNvSpPr>
      </xdr:nvSpPr>
      <xdr:spPr>
        <a:xfrm>
          <a:off x="20545425" y="228514275"/>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12</xdr:col>
      <xdr:colOff>0</xdr:colOff>
      <xdr:row>56</xdr:row>
      <xdr:rowOff>0</xdr:rowOff>
    </xdr:from>
    <xdr:ext cx="4229100" cy="942975"/>
    <xdr:sp>
      <xdr:nvSpPr>
        <xdr:cNvPr id="115" name="Rectangle 116"/>
        <xdr:cNvSpPr>
          <a:spLocks/>
        </xdr:cNvSpPr>
      </xdr:nvSpPr>
      <xdr:spPr>
        <a:xfrm>
          <a:off x="22145625" y="17602200"/>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4</xdr:col>
      <xdr:colOff>0</xdr:colOff>
      <xdr:row>75</xdr:row>
      <xdr:rowOff>0</xdr:rowOff>
    </xdr:from>
    <xdr:ext cx="4248150" cy="942975"/>
    <xdr:sp>
      <xdr:nvSpPr>
        <xdr:cNvPr id="116" name="Rectangle 117"/>
        <xdr:cNvSpPr>
          <a:spLocks/>
        </xdr:cNvSpPr>
      </xdr:nvSpPr>
      <xdr:spPr>
        <a:xfrm>
          <a:off x="7591425" y="23574375"/>
          <a:ext cx="424815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oneCellAnchor>
    <xdr:from>
      <xdr:col>13</xdr:col>
      <xdr:colOff>0</xdr:colOff>
      <xdr:row>104</xdr:row>
      <xdr:rowOff>0</xdr:rowOff>
    </xdr:from>
    <xdr:ext cx="4229100" cy="942975"/>
    <xdr:sp>
      <xdr:nvSpPr>
        <xdr:cNvPr id="117" name="Rectangle 118"/>
        <xdr:cNvSpPr>
          <a:spLocks/>
        </xdr:cNvSpPr>
      </xdr:nvSpPr>
      <xdr:spPr>
        <a:xfrm>
          <a:off x="23745825" y="32689800"/>
          <a:ext cx="4229100" cy="942975"/>
        </a:xfrm>
        <a:prstGeom prst="rect">
          <a:avLst/>
        </a:prstGeom>
        <a:noFill/>
        <a:ln w="9525" cmpd="sng">
          <a:noFill/>
        </a:ln>
      </xdr:spPr>
      <xdr:txBody>
        <a:bodyPr vertOverflow="clip" wrap="square" lIns="91440" tIns="45720" rIns="91440" bIns="45720">
          <a:spAutoFit/>
        </a:bodyPr>
        <a:p>
          <a:pPr algn="ctr">
            <a:defRPr/>
          </a:pPr>
          <a:r>
            <a:rPr lang="en-US" cap="none" sz="5400" b="0" i="0" u="none" baseline="0">
              <a:solidFill>
                <a:srgbClr val="FFFFFF"/>
              </a:solidFill>
            </a:rPr>
            <a:t>NOT FOR SALE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39"/>
  <sheetViews>
    <sheetView tabSelected="1" view="pageBreakPreview" zoomScale="51" zoomScaleSheetLayoutView="51" zoomScalePageLayoutView="0" workbookViewId="0" topLeftCell="G1">
      <selection activeCell="B83" sqref="B83:K85"/>
    </sheetView>
  </sheetViews>
  <sheetFormatPr defaultColWidth="23.8515625" defaultRowHeight="24.75" customHeight="1"/>
  <cols>
    <col min="1" max="1" width="23.8515625" style="2" customWidth="1"/>
    <col min="2" max="2" width="24.00390625" style="2" bestFit="1" customWidth="1"/>
    <col min="3" max="4" width="33.00390625" style="2" bestFit="1" customWidth="1"/>
    <col min="5" max="6" width="34.8515625" style="2" bestFit="1" customWidth="1"/>
    <col min="7" max="7" width="28.7109375" style="2" bestFit="1" customWidth="1"/>
    <col min="8" max="9" width="24.00390625" style="2" bestFit="1" customWidth="1"/>
    <col min="10" max="10" width="24.00390625" style="3" bestFit="1" customWidth="1"/>
    <col min="11" max="11" width="23.8515625" style="3" customWidth="1"/>
    <col min="12" max="15" width="24.00390625" style="2" bestFit="1" customWidth="1"/>
    <col min="16" max="17" width="23.8515625" style="2" customWidth="1"/>
    <col min="18" max="18" width="24.00390625" style="2" bestFit="1" customWidth="1"/>
    <col min="19" max="19" width="23.8515625" style="2" customWidth="1"/>
    <col min="20" max="20" width="24.00390625" style="2" bestFit="1" customWidth="1"/>
    <col min="21" max="16384" width="23.8515625" style="2" customWidth="1"/>
  </cols>
  <sheetData>
    <row r="1" ht="24.75" customHeight="1">
      <c r="A1" s="1" t="s">
        <v>356</v>
      </c>
    </row>
    <row r="2" ht="24.75" customHeight="1">
      <c r="A2" s="4"/>
    </row>
    <row r="3" ht="24.75" customHeight="1">
      <c r="A3" s="5"/>
    </row>
    <row r="4" ht="24.75" customHeight="1">
      <c r="A4" s="5"/>
    </row>
    <row r="6" ht="24.75" customHeight="1">
      <c r="A6" s="6" t="s">
        <v>391</v>
      </c>
    </row>
    <row r="7" ht="24.75" customHeight="1">
      <c r="A7" s="6" t="s">
        <v>392</v>
      </c>
    </row>
    <row r="9" ht="24.75" customHeight="1">
      <c r="A9" s="7" t="s">
        <v>377</v>
      </c>
    </row>
    <row r="10" spans="1:2" ht="24.75" customHeight="1">
      <c r="A10" s="8" t="s">
        <v>376</v>
      </c>
      <c r="B10" s="8" t="s">
        <v>5</v>
      </c>
    </row>
    <row r="11" spans="2:7" ht="24.75" customHeight="1">
      <c r="B11" s="9"/>
      <c r="C11" s="9"/>
      <c r="D11" s="10" t="s">
        <v>32</v>
      </c>
      <c r="E11" s="10" t="s">
        <v>28</v>
      </c>
      <c r="F11" s="10" t="s">
        <v>33</v>
      </c>
      <c r="G11" s="10" t="s">
        <v>7</v>
      </c>
    </row>
    <row r="12" spans="2:9" ht="24.75" customHeight="1">
      <c r="B12" s="11" t="s">
        <v>93</v>
      </c>
      <c r="D12" s="12">
        <v>-400000000</v>
      </c>
      <c r="I12" s="8"/>
    </row>
    <row r="13" spans="2:9" ht="24.75" customHeight="1">
      <c r="B13" s="13" t="s">
        <v>2</v>
      </c>
      <c r="C13" s="8" t="s">
        <v>29</v>
      </c>
      <c r="E13" s="12">
        <f>C28</f>
        <v>107352540</v>
      </c>
      <c r="F13" s="12">
        <f>C28</f>
        <v>107352540</v>
      </c>
      <c r="I13" s="8"/>
    </row>
    <row r="14" spans="2:11" ht="24.75" customHeight="1">
      <c r="B14" s="13" t="s">
        <v>3</v>
      </c>
      <c r="C14" s="8" t="s">
        <v>30</v>
      </c>
      <c r="E14" s="14">
        <f>-C35</f>
        <v>-11000000</v>
      </c>
      <c r="F14" s="12">
        <f>-C40</f>
        <v>-12100000</v>
      </c>
      <c r="I14" s="8"/>
      <c r="K14" s="15"/>
    </row>
    <row r="15" spans="2:11" ht="24.75" customHeight="1">
      <c r="B15" s="13" t="s">
        <v>34</v>
      </c>
      <c r="E15" s="14"/>
      <c r="F15" s="12"/>
      <c r="G15" s="12">
        <v>20000000</v>
      </c>
      <c r="I15" s="8"/>
      <c r="K15" s="15"/>
    </row>
    <row r="16" spans="2:11" ht="24.75" customHeight="1">
      <c r="B16" s="13" t="s">
        <v>4</v>
      </c>
      <c r="D16" s="14">
        <f>SUM(D12:D15)</f>
        <v>-400000000</v>
      </c>
      <c r="E16" s="14">
        <f>SUM(E12:E15)</f>
        <v>96352540</v>
      </c>
      <c r="F16" s="14">
        <f>SUM(F12:F15)</f>
        <v>95252540</v>
      </c>
      <c r="G16" s="14">
        <f>SUM(G12:G15)</f>
        <v>20000000</v>
      </c>
      <c r="I16" s="8"/>
      <c r="K16" s="15"/>
    </row>
    <row r="17" spans="2:11" ht="24.75" customHeight="1">
      <c r="B17" s="13" t="s">
        <v>115</v>
      </c>
      <c r="D17" s="2">
        <v>1</v>
      </c>
      <c r="E17" s="2">
        <v>5.0187</v>
      </c>
      <c r="F17" s="2">
        <v>1.2406</v>
      </c>
      <c r="G17" s="2">
        <v>0.0611</v>
      </c>
      <c r="I17" s="8"/>
      <c r="K17" s="15"/>
    </row>
    <row r="18" spans="2:9" ht="24.75" customHeight="1">
      <c r="B18" s="13" t="s">
        <v>17</v>
      </c>
      <c r="D18" s="14">
        <f>D16*D17</f>
        <v>-400000000</v>
      </c>
      <c r="E18" s="14">
        <f>E16*E17</f>
        <v>483564492.49799997</v>
      </c>
      <c r="F18" s="14">
        <f>F16*F17</f>
        <v>118170301.124</v>
      </c>
      <c r="G18" s="14">
        <f>G16*G17</f>
        <v>1222000</v>
      </c>
      <c r="I18" s="8"/>
    </row>
    <row r="19" spans="2:9" ht="24.75" customHeight="1">
      <c r="B19" s="16" t="s">
        <v>5</v>
      </c>
      <c r="D19" s="17">
        <f>SUM(D18:G18)</f>
        <v>202956793.62199998</v>
      </c>
      <c r="I19" s="8"/>
    </row>
    <row r="20" ht="24.75" customHeight="1">
      <c r="I20" s="8"/>
    </row>
    <row r="21" spans="2:5" ht="24.75" customHeight="1">
      <c r="B21" s="2" t="s">
        <v>116</v>
      </c>
      <c r="E21" s="8"/>
    </row>
    <row r="23" ht="24.75" customHeight="1">
      <c r="B23" s="8" t="s">
        <v>29</v>
      </c>
    </row>
    <row r="24" spans="2:3" ht="24.75" customHeight="1">
      <c r="B24" s="18" t="s">
        <v>2</v>
      </c>
      <c r="C24" s="19"/>
    </row>
    <row r="25" spans="2:3" ht="24.75" customHeight="1">
      <c r="B25" s="19" t="s">
        <v>0</v>
      </c>
      <c r="C25" s="20">
        <v>7363000</v>
      </c>
    </row>
    <row r="26" spans="2:3" ht="24.75" customHeight="1">
      <c r="B26" s="19"/>
      <c r="C26" s="19"/>
    </row>
    <row r="27" spans="2:3" ht="24.75" customHeight="1">
      <c r="B27" s="19" t="s">
        <v>1</v>
      </c>
      <c r="C27" s="19">
        <v>14.58</v>
      </c>
    </row>
    <row r="28" spans="2:4" ht="24.75" customHeight="1">
      <c r="B28" s="18" t="s">
        <v>94</v>
      </c>
      <c r="C28" s="21">
        <f>C25*C27</f>
        <v>107352540</v>
      </c>
      <c r="D28" s="8"/>
    </row>
    <row r="29" ht="24.75" customHeight="1">
      <c r="K29" s="22"/>
    </row>
    <row r="30" ht="24.75" customHeight="1">
      <c r="B30" s="18" t="s">
        <v>3</v>
      </c>
    </row>
    <row r="31" ht="24.75" customHeight="1">
      <c r="B31" s="2" t="s">
        <v>25</v>
      </c>
    </row>
    <row r="33" spans="2:3" ht="24.75" customHeight="1">
      <c r="B33" s="2" t="s">
        <v>90</v>
      </c>
      <c r="C33" s="12">
        <v>4000000</v>
      </c>
    </row>
    <row r="34" spans="2:3" ht="24.75" customHeight="1">
      <c r="B34" s="2" t="s">
        <v>24</v>
      </c>
      <c r="C34" s="12">
        <v>7000000</v>
      </c>
    </row>
    <row r="35" spans="2:4" ht="24.75" customHeight="1">
      <c r="B35" s="8" t="s">
        <v>95</v>
      </c>
      <c r="C35" s="23">
        <f>SUM(C33:C34)</f>
        <v>11000000</v>
      </c>
      <c r="D35" s="8"/>
    </row>
    <row r="36" spans="3:4" ht="24.75" customHeight="1">
      <c r="C36" s="20"/>
      <c r="D36" s="8"/>
    </row>
    <row r="37" ht="24.75" customHeight="1">
      <c r="B37" s="8" t="s">
        <v>26</v>
      </c>
    </row>
    <row r="38" ht="24.75" customHeight="1">
      <c r="B38" s="2" t="s">
        <v>27</v>
      </c>
    </row>
    <row r="39" ht="24.75" customHeight="1">
      <c r="C39" s="12">
        <f>+C35*10/100</f>
        <v>1100000</v>
      </c>
    </row>
    <row r="40" spans="2:4" ht="24.75" customHeight="1">
      <c r="B40" s="8" t="s">
        <v>31</v>
      </c>
      <c r="C40" s="24">
        <f>+C35+C39</f>
        <v>12100000</v>
      </c>
      <c r="D40" s="8"/>
    </row>
    <row r="41" spans="2:6" ht="24.75" customHeight="1">
      <c r="B41" s="142" t="s">
        <v>125</v>
      </c>
      <c r="C41" s="142"/>
      <c r="D41" s="142"/>
      <c r="E41" s="142"/>
      <c r="F41" s="8" t="s">
        <v>136</v>
      </c>
    </row>
    <row r="42" spans="2:6" ht="24.75" customHeight="1">
      <c r="B42" s="142"/>
      <c r="C42" s="142"/>
      <c r="D42" s="142"/>
      <c r="E42" s="142"/>
      <c r="F42" s="8"/>
    </row>
    <row r="43" spans="2:6" ht="24.75" customHeight="1">
      <c r="B43" s="2" t="s">
        <v>91</v>
      </c>
      <c r="F43" s="8" t="s">
        <v>136</v>
      </c>
    </row>
    <row r="44" ht="24.75" customHeight="1">
      <c r="B44" s="8" t="s">
        <v>8</v>
      </c>
    </row>
    <row r="45" spans="2:4" ht="24.75" customHeight="1">
      <c r="B45" s="2" t="s">
        <v>22</v>
      </c>
      <c r="D45" s="2" t="s">
        <v>9</v>
      </c>
    </row>
    <row r="47" spans="2:6" ht="24.75" customHeight="1">
      <c r="B47" s="10" t="s">
        <v>18</v>
      </c>
      <c r="C47" s="10" t="s">
        <v>19</v>
      </c>
      <c r="D47" s="10" t="s">
        <v>20</v>
      </c>
      <c r="E47" s="10" t="s">
        <v>12</v>
      </c>
      <c r="F47" s="10" t="s">
        <v>8</v>
      </c>
    </row>
    <row r="48" spans="2:7" ht="24.75" customHeight="1">
      <c r="B48" s="19" t="s">
        <v>10</v>
      </c>
      <c r="C48" s="19">
        <v>200</v>
      </c>
      <c r="D48" s="19">
        <f>C48/C50</f>
        <v>0.5</v>
      </c>
      <c r="E48" s="19">
        <f>C56</f>
        <v>18</v>
      </c>
      <c r="F48" s="19">
        <f>E48*D48</f>
        <v>9</v>
      </c>
      <c r="G48" s="8"/>
    </row>
    <row r="49" spans="2:7" ht="24.75" customHeight="1">
      <c r="B49" s="19" t="s">
        <v>11</v>
      </c>
      <c r="C49" s="19">
        <v>200</v>
      </c>
      <c r="D49" s="19">
        <f>C49/C50</f>
        <v>0.5</v>
      </c>
      <c r="E49" s="19">
        <f>D52</f>
        <v>12</v>
      </c>
      <c r="F49" s="19">
        <f>E49*D49</f>
        <v>6</v>
      </c>
      <c r="G49" s="8"/>
    </row>
    <row r="50" spans="2:7" ht="24.75" customHeight="1">
      <c r="B50" s="25" t="s">
        <v>16</v>
      </c>
      <c r="C50" s="25">
        <f>SUM(C48:C49)</f>
        <v>400</v>
      </c>
      <c r="D50" s="25"/>
      <c r="E50" s="25"/>
      <c r="F50" s="25">
        <f>SUM(F48:F49)</f>
        <v>15</v>
      </c>
      <c r="G50" s="8"/>
    </row>
    <row r="52" spans="2:4" ht="24.75" customHeight="1">
      <c r="B52" s="8" t="s">
        <v>13</v>
      </c>
      <c r="C52" s="2" t="s">
        <v>14</v>
      </c>
      <c r="D52" s="2">
        <f>12</f>
        <v>12</v>
      </c>
    </row>
    <row r="53" spans="2:4" ht="24.75" customHeight="1">
      <c r="B53" s="2" t="s">
        <v>114</v>
      </c>
      <c r="D53" s="26"/>
    </row>
    <row r="54" spans="2:3" ht="24.75" customHeight="1">
      <c r="B54" s="8" t="s">
        <v>21</v>
      </c>
      <c r="C54" s="2" t="s">
        <v>15</v>
      </c>
    </row>
    <row r="55" spans="3:4" ht="24.75" customHeight="1">
      <c r="C55" s="2">
        <v>10</v>
      </c>
      <c r="D55" s="27" t="s">
        <v>113</v>
      </c>
    </row>
    <row r="56" spans="3:6" ht="24.75" customHeight="1">
      <c r="C56" s="8">
        <f>C55+D55</f>
        <v>18</v>
      </c>
      <c r="F56" s="28"/>
    </row>
    <row r="57" spans="1:2" ht="24.75" customHeight="1">
      <c r="A57" s="8" t="s">
        <v>321</v>
      </c>
      <c r="B57" s="8" t="s">
        <v>92</v>
      </c>
    </row>
    <row r="58" spans="2:7" ht="24.75" customHeight="1">
      <c r="B58" s="9"/>
      <c r="C58" s="9"/>
      <c r="D58" s="10" t="s">
        <v>32</v>
      </c>
      <c r="E58" s="10" t="s">
        <v>28</v>
      </c>
      <c r="F58" s="10" t="s">
        <v>33</v>
      </c>
      <c r="G58" s="10" t="s">
        <v>7</v>
      </c>
    </row>
    <row r="60" spans="2:11" ht="24.75" customHeight="1">
      <c r="B60" s="13" t="s">
        <v>4</v>
      </c>
      <c r="D60" s="14">
        <f>D16</f>
        <v>-400000000</v>
      </c>
      <c r="E60" s="14">
        <f>E16</f>
        <v>96352540</v>
      </c>
      <c r="F60" s="14">
        <f>F16</f>
        <v>95252540</v>
      </c>
      <c r="G60" s="14">
        <f>G16</f>
        <v>20000000</v>
      </c>
      <c r="I60" s="8"/>
      <c r="K60" s="15"/>
    </row>
    <row r="61" spans="2:7" ht="24.75" customHeight="1">
      <c r="B61" s="13" t="s">
        <v>123</v>
      </c>
      <c r="D61" s="2">
        <v>1</v>
      </c>
      <c r="E61" s="2">
        <v>2.1681</v>
      </c>
      <c r="F61" s="2">
        <v>0.04381447425343056</v>
      </c>
      <c r="G61" s="2">
        <v>0.0005924339732901049</v>
      </c>
    </row>
    <row r="62" spans="2:7" ht="24.75" customHeight="1">
      <c r="B62" s="13" t="s">
        <v>17</v>
      </c>
      <c r="D62" s="14">
        <f>D60*D61</f>
        <v>-400000000</v>
      </c>
      <c r="E62" s="14">
        <f>E60*E61</f>
        <v>208901941.97399998</v>
      </c>
      <c r="F62" s="14">
        <f>F60*F61</f>
        <v>4173439.9614038644</v>
      </c>
      <c r="G62" s="14">
        <f>G60*G61</f>
        <v>11848.679465802099</v>
      </c>
    </row>
    <row r="63" spans="2:4" ht="24.75" customHeight="1">
      <c r="B63" s="16" t="s">
        <v>5</v>
      </c>
      <c r="D63" s="24">
        <f>SUM(D62:G62)</f>
        <v>-186912769.38513035</v>
      </c>
    </row>
    <row r="65" spans="2:3" ht="24.75" customHeight="1">
      <c r="B65" s="2" t="s">
        <v>6</v>
      </c>
      <c r="C65" s="26" t="s">
        <v>122</v>
      </c>
    </row>
    <row r="66" spans="2:5" ht="24.75" customHeight="1">
      <c r="B66" s="8" t="s">
        <v>124</v>
      </c>
      <c r="C66" s="29">
        <v>0.3062</v>
      </c>
      <c r="D66" s="30"/>
      <c r="E66" s="31"/>
    </row>
    <row r="67" spans="3:5" ht="24.75" customHeight="1">
      <c r="C67" s="12"/>
      <c r="D67" s="31"/>
      <c r="E67" s="31"/>
    </row>
    <row r="68" spans="2:5" ht="24.75" customHeight="1">
      <c r="B68" s="8" t="s">
        <v>369</v>
      </c>
      <c r="C68" s="12"/>
      <c r="D68" s="31"/>
      <c r="E68" s="31"/>
    </row>
    <row r="70" ht="24.75" customHeight="1">
      <c r="B70" s="8" t="s">
        <v>120</v>
      </c>
    </row>
    <row r="71" spans="2:3" ht="24.75" customHeight="1">
      <c r="B71" s="2" t="s">
        <v>126</v>
      </c>
      <c r="C71" s="14">
        <f>D16</f>
        <v>-400000000</v>
      </c>
    </row>
    <row r="72" spans="2:3" ht="24.75" customHeight="1">
      <c r="B72" s="2" t="s">
        <v>127</v>
      </c>
      <c r="C72" s="14">
        <f>E16</f>
        <v>96352540</v>
      </c>
    </row>
    <row r="73" ht="24.75" customHeight="1">
      <c r="C73" s="2">
        <f>C71/C72</f>
        <v>-4.151421436321243</v>
      </c>
    </row>
    <row r="74" ht="24.75" customHeight="1">
      <c r="B74" s="8" t="s">
        <v>121</v>
      </c>
    </row>
    <row r="77" spans="1:2" ht="24.75" customHeight="1">
      <c r="A77" s="8" t="s">
        <v>379</v>
      </c>
      <c r="B77" s="8" t="s">
        <v>72</v>
      </c>
    </row>
    <row r="78" ht="24.75" customHeight="1">
      <c r="B78" s="2" t="s">
        <v>23</v>
      </c>
    </row>
    <row r="79" ht="24.75" customHeight="1">
      <c r="B79" s="2" t="s">
        <v>35</v>
      </c>
    </row>
    <row r="80" ht="24.75" customHeight="1">
      <c r="D80" s="8"/>
    </row>
    <row r="81" ht="24.75" customHeight="1">
      <c r="L81" s="2">
        <f>SUM(K76:K81)</f>
        <v>0</v>
      </c>
    </row>
    <row r="82" spans="1:11" ht="24.75" customHeight="1">
      <c r="A82" s="32" t="s">
        <v>326</v>
      </c>
      <c r="J82" s="2"/>
      <c r="K82" s="2"/>
    </row>
    <row r="83" spans="1:11" ht="24.75" customHeight="1">
      <c r="A83" s="33"/>
      <c r="B83" s="142" t="s">
        <v>327</v>
      </c>
      <c r="C83" s="142"/>
      <c r="D83" s="142"/>
      <c r="E83" s="142"/>
      <c r="F83" s="142"/>
      <c r="G83" s="142"/>
      <c r="H83" s="142"/>
      <c r="I83" s="142"/>
      <c r="J83" s="142"/>
      <c r="K83" s="142"/>
    </row>
    <row r="84" spans="1:11" ht="24.75" customHeight="1">
      <c r="A84" s="34" t="s">
        <v>132</v>
      </c>
      <c r="B84" s="142"/>
      <c r="C84" s="142"/>
      <c r="D84" s="142"/>
      <c r="E84" s="142"/>
      <c r="F84" s="142"/>
      <c r="G84" s="142"/>
      <c r="H84" s="142"/>
      <c r="I84" s="142"/>
      <c r="J84" s="142"/>
      <c r="K84" s="142"/>
    </row>
    <row r="85" spans="1:11" ht="24.75" customHeight="1">
      <c r="A85" s="33"/>
      <c r="B85" s="142"/>
      <c r="C85" s="142"/>
      <c r="D85" s="142"/>
      <c r="E85" s="142"/>
      <c r="F85" s="142"/>
      <c r="G85" s="142"/>
      <c r="H85" s="142"/>
      <c r="I85" s="142"/>
      <c r="J85" s="142"/>
      <c r="K85" s="142"/>
    </row>
    <row r="86" spans="1:11" ht="24.75" customHeight="1">
      <c r="A86" s="33"/>
      <c r="J86" s="35"/>
      <c r="K86" s="2"/>
    </row>
    <row r="87" spans="1:11" ht="24.75" customHeight="1">
      <c r="A87" s="33"/>
      <c r="J87" s="2"/>
      <c r="K87" s="2"/>
    </row>
    <row r="88" spans="1:11" ht="24.75" customHeight="1">
      <c r="A88" s="34" t="s">
        <v>130</v>
      </c>
      <c r="B88" s="2" t="s">
        <v>329</v>
      </c>
      <c r="J88" s="2"/>
      <c r="K88" s="2"/>
    </row>
    <row r="89" spans="1:12" ht="24.75" customHeight="1">
      <c r="A89" s="33"/>
      <c r="D89" s="12"/>
      <c r="E89" s="12"/>
      <c r="J89" s="2"/>
      <c r="K89" s="2"/>
      <c r="L89" s="26"/>
    </row>
    <row r="90" spans="1:12" ht="24.75" customHeight="1">
      <c r="A90" s="33"/>
      <c r="B90" s="36" t="s">
        <v>330</v>
      </c>
      <c r="C90" s="8"/>
      <c r="D90" s="37" t="s">
        <v>331</v>
      </c>
      <c r="E90" s="37"/>
      <c r="F90" s="8" t="s">
        <v>333</v>
      </c>
      <c r="G90" s="8"/>
      <c r="H90" s="8" t="s">
        <v>334</v>
      </c>
      <c r="J90" s="2"/>
      <c r="K90" s="2"/>
      <c r="L90" s="26"/>
    </row>
    <row r="91" spans="1:14" ht="24.75" customHeight="1">
      <c r="A91" s="38"/>
      <c r="B91" s="39">
        <v>1000</v>
      </c>
      <c r="D91" s="2" t="s">
        <v>336</v>
      </c>
      <c r="F91" s="40">
        <v>48000</v>
      </c>
      <c r="G91" s="41"/>
      <c r="H91" s="42" t="s">
        <v>335</v>
      </c>
      <c r="I91" s="41"/>
      <c r="J91" s="2"/>
      <c r="K91" s="2"/>
      <c r="L91" s="12"/>
      <c r="M91" s="12"/>
      <c r="N91" s="12"/>
    </row>
    <row r="92" spans="1:14" ht="24.75" customHeight="1">
      <c r="A92" s="33"/>
      <c r="B92" s="39">
        <v>2000</v>
      </c>
      <c r="D92" s="2" t="s">
        <v>337</v>
      </c>
      <c r="F92" s="40">
        <v>72000</v>
      </c>
      <c r="G92" s="41"/>
      <c r="H92" s="43" t="s">
        <v>357</v>
      </c>
      <c r="I92" s="41"/>
      <c r="J92" s="2"/>
      <c r="K92" s="2"/>
      <c r="L92" s="12"/>
      <c r="M92" s="12"/>
      <c r="N92" s="12"/>
    </row>
    <row r="93" spans="1:14" ht="24.75" customHeight="1">
      <c r="A93" s="33"/>
      <c r="B93" s="2">
        <v>3000</v>
      </c>
      <c r="D93" s="2" t="s">
        <v>338</v>
      </c>
      <c r="F93" s="40">
        <v>96000</v>
      </c>
      <c r="G93" s="41"/>
      <c r="H93" s="43" t="s">
        <v>339</v>
      </c>
      <c r="I93" s="41"/>
      <c r="J93" s="2"/>
      <c r="K93" s="2"/>
      <c r="L93" s="12"/>
      <c r="M93" s="12"/>
      <c r="N93" s="12"/>
    </row>
    <row r="94" spans="1:14" ht="24.75" customHeight="1">
      <c r="A94" s="33"/>
      <c r="B94" s="2">
        <v>4000</v>
      </c>
      <c r="D94" s="2" t="s">
        <v>340</v>
      </c>
      <c r="F94" s="40">
        <v>120000</v>
      </c>
      <c r="G94" s="41"/>
      <c r="H94" s="43" t="s">
        <v>341</v>
      </c>
      <c r="I94" s="41"/>
      <c r="J94" s="2"/>
      <c r="K94" s="2"/>
      <c r="L94" s="12"/>
      <c r="M94" s="12"/>
      <c r="N94" s="12"/>
    </row>
    <row r="95" spans="1:14" ht="24.75" customHeight="1">
      <c r="A95" s="33"/>
      <c r="B95" s="2">
        <v>5000</v>
      </c>
      <c r="D95" s="2" t="s">
        <v>342</v>
      </c>
      <c r="F95" s="40">
        <v>159000</v>
      </c>
      <c r="G95" s="41"/>
      <c r="H95" s="43" t="s">
        <v>343</v>
      </c>
      <c r="I95" s="41"/>
      <c r="J95" s="2"/>
      <c r="K95" s="2"/>
      <c r="L95" s="12"/>
      <c r="M95" s="12"/>
      <c r="N95" s="12"/>
    </row>
    <row r="96" spans="1:18" ht="24.75" customHeight="1">
      <c r="A96" s="33"/>
      <c r="G96" s="44"/>
      <c r="H96" s="44"/>
      <c r="I96" s="44"/>
      <c r="J96" s="2"/>
      <c r="K96" s="2"/>
      <c r="R96" s="8"/>
    </row>
    <row r="97" spans="1:14" ht="24.75" customHeight="1">
      <c r="A97" s="33"/>
      <c r="B97" s="2" t="s">
        <v>344</v>
      </c>
      <c r="G97" s="45"/>
      <c r="H97" s="45"/>
      <c r="I97" s="45"/>
      <c r="J97" s="2"/>
      <c r="K97" s="2"/>
      <c r="M97" s="8"/>
      <c r="N97" s="8"/>
    </row>
    <row r="98" spans="1:14" ht="24.75" customHeight="1">
      <c r="A98" s="33"/>
      <c r="B98" s="2" t="s">
        <v>345</v>
      </c>
      <c r="G98" s="45"/>
      <c r="H98" s="45"/>
      <c r="I98" s="45"/>
      <c r="J98" s="2"/>
      <c r="K98" s="2"/>
      <c r="M98" s="8"/>
      <c r="N98" s="8"/>
    </row>
    <row r="99" spans="1:14" ht="24.75" customHeight="1">
      <c r="A99" s="33"/>
      <c r="G99" s="45"/>
      <c r="H99" s="45"/>
      <c r="I99" s="45"/>
      <c r="J99" s="2"/>
      <c r="K99" s="2"/>
      <c r="M99" s="8"/>
      <c r="N99" s="8"/>
    </row>
    <row r="100" spans="1:14" ht="24.75" customHeight="1">
      <c r="A100" s="33"/>
      <c r="B100" s="2" t="s">
        <v>346</v>
      </c>
      <c r="G100" s="45"/>
      <c r="H100" s="45"/>
      <c r="I100" s="45"/>
      <c r="J100" s="2"/>
      <c r="K100" s="2"/>
      <c r="M100" s="8"/>
      <c r="N100" s="8"/>
    </row>
    <row r="101" spans="1:14" ht="24.75" customHeight="1">
      <c r="A101" s="33"/>
      <c r="B101" s="36" t="s">
        <v>330</v>
      </c>
      <c r="C101" s="8"/>
      <c r="D101" s="8" t="s">
        <v>332</v>
      </c>
      <c r="E101" s="8" t="s">
        <v>347</v>
      </c>
      <c r="G101" s="45"/>
      <c r="H101" s="45"/>
      <c r="I101" s="45"/>
      <c r="J101" s="2"/>
      <c r="K101" s="2"/>
      <c r="M101" s="8"/>
      <c r="N101" s="8"/>
    </row>
    <row r="102" spans="1:14" ht="24.75" customHeight="1">
      <c r="A102" s="33"/>
      <c r="B102" s="2">
        <v>1000</v>
      </c>
      <c r="D102" s="40" t="s">
        <v>362</v>
      </c>
      <c r="E102" s="46" t="s">
        <v>348</v>
      </c>
      <c r="G102" s="45"/>
      <c r="H102" s="45"/>
      <c r="I102" s="45"/>
      <c r="J102" s="2"/>
      <c r="K102" s="2"/>
      <c r="M102" s="8"/>
      <c r="N102" s="8"/>
    </row>
    <row r="103" spans="1:14" ht="24.75" customHeight="1">
      <c r="A103" s="33"/>
      <c r="B103" s="2">
        <v>2000</v>
      </c>
      <c r="D103" s="2" t="s">
        <v>361</v>
      </c>
      <c r="E103" s="40">
        <v>80000</v>
      </c>
      <c r="G103" s="45"/>
      <c r="H103" s="45"/>
      <c r="I103" s="45"/>
      <c r="J103" s="2"/>
      <c r="K103" s="2"/>
      <c r="M103" s="8"/>
      <c r="N103" s="8"/>
    </row>
    <row r="104" spans="1:11" ht="24.75" customHeight="1">
      <c r="A104" s="33"/>
      <c r="B104" s="2">
        <v>3000</v>
      </c>
      <c r="D104" s="2" t="s">
        <v>361</v>
      </c>
      <c r="E104" s="40">
        <v>170000</v>
      </c>
      <c r="G104" s="45"/>
      <c r="H104" s="45"/>
      <c r="I104" s="45"/>
      <c r="J104" s="2"/>
      <c r="K104" s="2"/>
    </row>
    <row r="105" spans="1:11" ht="24.75" customHeight="1">
      <c r="A105" s="33"/>
      <c r="B105" s="2">
        <v>4000</v>
      </c>
      <c r="D105" s="2" t="s">
        <v>361</v>
      </c>
      <c r="E105" s="40">
        <v>260000</v>
      </c>
      <c r="G105" s="45"/>
      <c r="H105" s="45"/>
      <c r="I105" s="45"/>
      <c r="J105" s="2"/>
      <c r="K105" s="2"/>
    </row>
    <row r="106" spans="1:11" ht="24.75" customHeight="1">
      <c r="A106" s="33"/>
      <c r="B106" s="2">
        <v>5000</v>
      </c>
      <c r="D106" s="2" t="s">
        <v>363</v>
      </c>
      <c r="E106" s="40">
        <v>350000</v>
      </c>
      <c r="G106" s="45"/>
      <c r="H106" s="45"/>
      <c r="I106" s="45"/>
      <c r="J106" s="2"/>
      <c r="K106" s="2"/>
    </row>
    <row r="107" spans="1:11" ht="24.75" customHeight="1">
      <c r="A107" s="33"/>
      <c r="B107" s="2">
        <v>6000</v>
      </c>
      <c r="D107" s="2" t="s">
        <v>364</v>
      </c>
      <c r="E107" s="40">
        <v>440000</v>
      </c>
      <c r="G107" s="45"/>
      <c r="H107" s="45"/>
      <c r="I107" s="45"/>
      <c r="J107" s="2"/>
      <c r="K107" s="2"/>
    </row>
    <row r="108" spans="1:11" ht="24.75" customHeight="1">
      <c r="A108" s="33"/>
      <c r="B108" s="2" t="s">
        <v>365</v>
      </c>
      <c r="E108" s="40"/>
      <c r="G108" s="45" t="s">
        <v>366</v>
      </c>
      <c r="H108" s="45"/>
      <c r="I108" s="45"/>
      <c r="J108" s="2"/>
      <c r="K108" s="2"/>
    </row>
    <row r="109" spans="1:11" ht="24.75" customHeight="1">
      <c r="A109" s="38" t="s">
        <v>131</v>
      </c>
      <c r="B109" s="8" t="s">
        <v>358</v>
      </c>
      <c r="C109" s="38" t="s">
        <v>330</v>
      </c>
      <c r="D109" s="38" t="s">
        <v>349</v>
      </c>
      <c r="E109" s="47" t="s">
        <v>328</v>
      </c>
      <c r="F109" s="38" t="s">
        <v>350</v>
      </c>
      <c r="G109" s="48" t="s">
        <v>328</v>
      </c>
      <c r="H109" s="45"/>
      <c r="I109" s="45"/>
      <c r="J109" s="2"/>
      <c r="K109" s="2"/>
    </row>
    <row r="110" spans="1:11" ht="24.75" customHeight="1">
      <c r="A110" s="33"/>
      <c r="C110" s="33">
        <v>1000</v>
      </c>
      <c r="D110" s="49">
        <v>140000</v>
      </c>
      <c r="E110" s="50" t="s">
        <v>351</v>
      </c>
      <c r="F110" s="49">
        <v>90000</v>
      </c>
      <c r="G110" s="51">
        <v>-250000</v>
      </c>
      <c r="H110" s="45"/>
      <c r="I110" s="45"/>
      <c r="J110" s="2"/>
      <c r="K110" s="2"/>
    </row>
    <row r="111" spans="1:11" ht="24.75" customHeight="1">
      <c r="A111" s="33"/>
      <c r="C111" s="33">
        <v>2000</v>
      </c>
      <c r="D111" s="49">
        <v>280000</v>
      </c>
      <c r="E111" s="50" t="s">
        <v>352</v>
      </c>
      <c r="F111" s="49">
        <v>180000</v>
      </c>
      <c r="G111" s="51" t="s">
        <v>353</v>
      </c>
      <c r="H111" s="45"/>
      <c r="I111" s="45"/>
      <c r="J111" s="2"/>
      <c r="K111" s="2"/>
    </row>
    <row r="112" spans="1:11" ht="24.75" customHeight="1">
      <c r="A112" s="33"/>
      <c r="C112" s="33">
        <v>3000</v>
      </c>
      <c r="D112" s="49">
        <v>420000</v>
      </c>
      <c r="E112" s="49">
        <v>80000</v>
      </c>
      <c r="F112" s="49">
        <v>270000</v>
      </c>
      <c r="G112" s="51" t="s">
        <v>354</v>
      </c>
      <c r="H112" s="45"/>
      <c r="I112" s="45"/>
      <c r="J112" s="2"/>
      <c r="K112" s="2"/>
    </row>
    <row r="113" spans="1:11" ht="24.75" customHeight="1">
      <c r="A113" s="33"/>
      <c r="C113" s="33">
        <v>4000</v>
      </c>
      <c r="D113" s="49">
        <v>500000</v>
      </c>
      <c r="E113" s="49">
        <v>220000</v>
      </c>
      <c r="F113" s="49">
        <v>360000</v>
      </c>
      <c r="G113" s="52">
        <v>20000</v>
      </c>
      <c r="H113" s="45"/>
      <c r="I113" s="45"/>
      <c r="J113" s="2"/>
      <c r="K113" s="2"/>
    </row>
    <row r="114" spans="1:11" ht="24.75" customHeight="1">
      <c r="A114" s="33"/>
      <c r="C114" s="33">
        <v>5000</v>
      </c>
      <c r="D114" s="49">
        <v>700000</v>
      </c>
      <c r="E114" s="49">
        <v>210000</v>
      </c>
      <c r="F114" s="49">
        <v>450000</v>
      </c>
      <c r="G114" s="51" t="s">
        <v>355</v>
      </c>
      <c r="H114" s="45"/>
      <c r="I114" s="45"/>
      <c r="J114" s="2"/>
      <c r="K114" s="2"/>
    </row>
    <row r="115" spans="1:11" ht="24.75" customHeight="1">
      <c r="A115" s="33"/>
      <c r="C115" s="33">
        <v>6000</v>
      </c>
      <c r="D115" s="33"/>
      <c r="E115" s="33"/>
      <c r="F115" s="49">
        <v>540000</v>
      </c>
      <c r="G115" s="53">
        <v>50000</v>
      </c>
      <c r="J115" s="2"/>
      <c r="K115" s="2"/>
    </row>
    <row r="116" spans="1:11" ht="24.75" customHeight="1">
      <c r="A116" s="33"/>
      <c r="C116" s="33"/>
      <c r="D116" s="33"/>
      <c r="E116" s="33"/>
      <c r="F116" s="49"/>
      <c r="G116" s="53"/>
      <c r="J116" s="2"/>
      <c r="K116" s="2"/>
    </row>
    <row r="117" spans="1:11" ht="24.75" customHeight="1">
      <c r="A117" s="33"/>
      <c r="B117" s="2" t="s">
        <v>359</v>
      </c>
      <c r="C117" s="33"/>
      <c r="D117" s="33"/>
      <c r="E117" s="33"/>
      <c r="F117" s="49"/>
      <c r="G117" s="53"/>
      <c r="J117" s="2"/>
      <c r="K117" s="2"/>
    </row>
    <row r="118" spans="1:11" ht="24.75" customHeight="1">
      <c r="A118" s="33"/>
      <c r="J118" s="2"/>
      <c r="K118" s="2"/>
    </row>
    <row r="119" spans="1:11" ht="24.75" customHeight="1">
      <c r="A119" s="38" t="s">
        <v>136</v>
      </c>
      <c r="B119" s="2" t="s">
        <v>360</v>
      </c>
      <c r="D119" s="2" t="s">
        <v>136</v>
      </c>
      <c r="E119" s="8" t="s">
        <v>136</v>
      </c>
      <c r="J119" s="2"/>
      <c r="K119" s="2"/>
    </row>
    <row r="120" spans="1:11" ht="24.75" customHeight="1">
      <c r="A120" s="33"/>
      <c r="B120" s="2" t="s">
        <v>375</v>
      </c>
      <c r="J120" s="2"/>
      <c r="K120" s="2"/>
    </row>
    <row r="121" spans="1:11" ht="24.75" customHeight="1">
      <c r="A121" s="38" t="s">
        <v>367</v>
      </c>
      <c r="B121" s="142" t="s">
        <v>368</v>
      </c>
      <c r="C121" s="142"/>
      <c r="D121" s="142"/>
      <c r="E121" s="142"/>
      <c r="F121" s="142"/>
      <c r="G121" s="142"/>
      <c r="H121" s="142"/>
      <c r="I121" s="142"/>
      <c r="J121" s="142"/>
      <c r="K121" s="2"/>
    </row>
    <row r="122" spans="1:11" ht="24.75" customHeight="1">
      <c r="A122" s="33"/>
      <c r="B122" s="142"/>
      <c r="C122" s="142"/>
      <c r="D122" s="142"/>
      <c r="E122" s="142"/>
      <c r="F122" s="142"/>
      <c r="G122" s="142"/>
      <c r="H122" s="142"/>
      <c r="I122" s="142"/>
      <c r="J122" s="142"/>
      <c r="K122" s="2"/>
    </row>
    <row r="123" spans="1:11" ht="24.75" customHeight="1">
      <c r="A123" s="33"/>
      <c r="J123" s="2"/>
      <c r="K123" s="2"/>
    </row>
    <row r="125" s="55" customFormat="1" ht="24.75" customHeight="1">
      <c r="A125" s="54" t="s">
        <v>378</v>
      </c>
    </row>
    <row r="126" spans="1:3" s="55" customFormat="1" ht="24.75" customHeight="1">
      <c r="A126" s="54" t="s">
        <v>376</v>
      </c>
      <c r="B126" s="56" t="s">
        <v>393</v>
      </c>
      <c r="C126" s="2"/>
    </row>
    <row r="127" spans="2:3" s="55" customFormat="1" ht="24.75" customHeight="1">
      <c r="B127" s="56"/>
      <c r="C127" s="2"/>
    </row>
    <row r="128" spans="2:3" s="55" customFormat="1" ht="24.75" customHeight="1">
      <c r="B128" s="57" t="s">
        <v>53</v>
      </c>
      <c r="C128" s="57" t="s">
        <v>56</v>
      </c>
    </row>
    <row r="129" spans="2:3" s="55" customFormat="1" ht="24.75" customHeight="1">
      <c r="B129" s="58" t="s">
        <v>36</v>
      </c>
      <c r="C129" s="58" t="s">
        <v>57</v>
      </c>
    </row>
    <row r="130" spans="2:3" s="55" customFormat="1" ht="24.75" customHeight="1">
      <c r="B130" s="58" t="s">
        <v>49</v>
      </c>
      <c r="C130" s="58" t="s">
        <v>36</v>
      </c>
    </row>
    <row r="131" spans="2:3" s="55" customFormat="1" ht="24.75" customHeight="1">
      <c r="B131" s="58" t="s">
        <v>50</v>
      </c>
      <c r="C131" s="58" t="s">
        <v>36</v>
      </c>
    </row>
    <row r="132" spans="2:3" s="55" customFormat="1" ht="24.75" customHeight="1">
      <c r="B132" s="58" t="s">
        <v>51</v>
      </c>
      <c r="C132" s="58" t="s">
        <v>58</v>
      </c>
    </row>
    <row r="133" spans="2:3" s="55" customFormat="1" ht="24.75" customHeight="1">
      <c r="B133" s="58" t="s">
        <v>59</v>
      </c>
      <c r="C133" s="58" t="s">
        <v>51</v>
      </c>
    </row>
    <row r="134" spans="2:3" s="55" customFormat="1" ht="24.75" customHeight="1">
      <c r="B134" s="58" t="s">
        <v>60</v>
      </c>
      <c r="C134" s="58" t="s">
        <v>49</v>
      </c>
    </row>
    <row r="135" spans="2:3" s="55" customFormat="1" ht="24.75" customHeight="1">
      <c r="B135" s="58" t="s">
        <v>61</v>
      </c>
      <c r="C135" s="58" t="s">
        <v>49</v>
      </c>
    </row>
    <row r="136" spans="2:3" s="55" customFormat="1" ht="24.75" customHeight="1">
      <c r="B136" s="58" t="s">
        <v>62</v>
      </c>
      <c r="C136" s="58" t="s">
        <v>59</v>
      </c>
    </row>
    <row r="137" spans="2:3" s="55" customFormat="1" ht="24.75" customHeight="1">
      <c r="B137" s="58" t="s">
        <v>63</v>
      </c>
      <c r="C137" s="58" t="s">
        <v>60</v>
      </c>
    </row>
    <row r="138" spans="2:3" s="55" customFormat="1" ht="24.75" customHeight="1">
      <c r="B138" s="58" t="s">
        <v>64</v>
      </c>
      <c r="C138" s="58" t="s">
        <v>65</v>
      </c>
    </row>
    <row r="139" spans="2:3" s="55" customFormat="1" ht="24.75" customHeight="1">
      <c r="B139" s="58" t="s">
        <v>66</v>
      </c>
      <c r="C139" s="58" t="s">
        <v>67</v>
      </c>
    </row>
    <row r="140" spans="2:3" s="55" customFormat="1" ht="24.75" customHeight="1">
      <c r="B140" s="58" t="s">
        <v>68</v>
      </c>
      <c r="C140" s="58" t="s">
        <v>66</v>
      </c>
    </row>
    <row r="141" spans="2:5" s="55" customFormat="1" ht="24.75" customHeight="1">
      <c r="B141" s="59" t="s">
        <v>69</v>
      </c>
      <c r="C141" s="59" t="s">
        <v>68</v>
      </c>
      <c r="E141" s="8"/>
    </row>
    <row r="142" spans="2:3" s="55" customFormat="1" ht="24.75" customHeight="1">
      <c r="B142" s="60"/>
      <c r="C142" s="2"/>
    </row>
    <row r="143" s="55" customFormat="1" ht="24.75" customHeight="1"/>
    <row r="144" s="55" customFormat="1" ht="24.75" customHeight="1"/>
    <row r="145" s="55" customFormat="1" ht="24.75" customHeight="1"/>
    <row r="146" spans="1:8" s="55" customFormat="1" ht="24.75" customHeight="1">
      <c r="A146" s="54" t="s">
        <v>321</v>
      </c>
      <c r="H146" s="61"/>
    </row>
    <row r="147" s="55" customFormat="1" ht="24.75" customHeight="1"/>
    <row r="148" spans="8:15" s="55" customFormat="1" ht="24.75" customHeight="1">
      <c r="H148" s="55" t="s">
        <v>60</v>
      </c>
      <c r="L148" s="55" t="s">
        <v>63</v>
      </c>
      <c r="M148" s="62">
        <v>40</v>
      </c>
      <c r="O148" s="55" t="s">
        <v>66</v>
      </c>
    </row>
    <row r="149" spans="8:20" s="55" customFormat="1" ht="24.75" customHeight="1">
      <c r="H149" s="55">
        <v>12</v>
      </c>
      <c r="O149" s="63">
        <v>3</v>
      </c>
      <c r="R149" s="55" t="s">
        <v>68</v>
      </c>
      <c r="T149" s="55" t="s">
        <v>69</v>
      </c>
    </row>
    <row r="150" spans="5:20" s="55" customFormat="1" ht="24.75" customHeight="1">
      <c r="E150" s="64" t="s">
        <v>49</v>
      </c>
      <c r="R150" s="63">
        <v>2</v>
      </c>
      <c r="T150" s="63">
        <v>1</v>
      </c>
    </row>
    <row r="151" spans="5:13" s="55" customFormat="1" ht="24.75" customHeight="1">
      <c r="E151" s="63"/>
      <c r="F151" s="62">
        <v>2</v>
      </c>
      <c r="I151" s="63" t="s">
        <v>61</v>
      </c>
      <c r="M151" s="63" t="s">
        <v>64</v>
      </c>
    </row>
    <row r="152" spans="3:13" s="55" customFormat="1" ht="24.75" customHeight="1">
      <c r="C152" s="55" t="s">
        <v>36</v>
      </c>
      <c r="E152" s="61"/>
      <c r="M152" s="55">
        <v>14</v>
      </c>
    </row>
    <row r="153" spans="3:10" s="55" customFormat="1" ht="24.75" customHeight="1">
      <c r="C153" s="63">
        <v>4</v>
      </c>
      <c r="F153" s="64" t="s">
        <v>52</v>
      </c>
      <c r="J153" s="55">
        <v>4</v>
      </c>
    </row>
    <row r="154" spans="3:6" s="55" customFormat="1" ht="24.75" customHeight="1">
      <c r="C154" s="62"/>
      <c r="F154" s="62">
        <v>3</v>
      </c>
    </row>
    <row r="155" spans="5:8" s="55" customFormat="1" ht="24.75" customHeight="1">
      <c r="E155" s="64" t="s">
        <v>50</v>
      </c>
      <c r="H155" s="63"/>
    </row>
    <row r="156" spans="7:12" s="55" customFormat="1" ht="24.75" customHeight="1">
      <c r="G156" s="55">
        <v>2</v>
      </c>
      <c r="H156" s="61"/>
      <c r="L156" s="55" t="s">
        <v>62</v>
      </c>
    </row>
    <row r="157" spans="8:12" s="55" customFormat="1" ht="24.75" customHeight="1">
      <c r="H157" s="55">
        <v>4</v>
      </c>
      <c r="J157" s="55">
        <v>4</v>
      </c>
      <c r="L157" s="63">
        <v>4</v>
      </c>
    </row>
    <row r="158" spans="7:10" s="55" customFormat="1" ht="24.75" customHeight="1">
      <c r="G158" s="63" t="s">
        <v>51</v>
      </c>
      <c r="J158" s="55" t="s">
        <v>59</v>
      </c>
    </row>
    <row r="159" s="55" customFormat="1" ht="24.75" customHeight="1"/>
    <row r="160" s="55" customFormat="1" ht="24.75" customHeight="1"/>
    <row r="161" s="55" customFormat="1" ht="24.75" customHeight="1"/>
    <row r="162" s="55" customFormat="1" ht="24.75" customHeight="1">
      <c r="P162" s="8"/>
    </row>
    <row r="163" spans="1:7" s="55" customFormat="1" ht="24.75" customHeight="1">
      <c r="A163" s="54" t="s">
        <v>379</v>
      </c>
      <c r="B163" s="55" t="s">
        <v>370</v>
      </c>
      <c r="G163" s="8"/>
    </row>
    <row r="164" spans="2:7" s="55" customFormat="1" ht="24.75" customHeight="1">
      <c r="B164" s="55" t="s">
        <v>111</v>
      </c>
      <c r="E164" s="55" t="s">
        <v>371</v>
      </c>
      <c r="G164" s="8"/>
    </row>
    <row r="165" s="55" customFormat="1" ht="24.75" customHeight="1"/>
    <row r="166" s="55" customFormat="1" ht="24.75" customHeight="1"/>
    <row r="167" spans="2:8" s="55" customFormat="1" ht="24.75" customHeight="1">
      <c r="B167" s="65" t="s">
        <v>53</v>
      </c>
      <c r="C167" s="65" t="s">
        <v>55</v>
      </c>
      <c r="E167" s="65"/>
      <c r="F167" s="65"/>
      <c r="G167" s="66"/>
      <c r="H167" s="67"/>
    </row>
    <row r="168" spans="1:8" s="55" customFormat="1" ht="24.75" customHeight="1">
      <c r="A168" s="68"/>
      <c r="B168" s="69" t="s">
        <v>36</v>
      </c>
      <c r="C168" s="69">
        <v>0</v>
      </c>
      <c r="E168" s="69"/>
      <c r="F168" s="69"/>
      <c r="G168" s="70"/>
      <c r="H168" s="70"/>
    </row>
    <row r="169" spans="1:19" s="55" customFormat="1" ht="24.75" customHeight="1">
      <c r="A169" s="68"/>
      <c r="B169" s="69" t="s">
        <v>49</v>
      </c>
      <c r="C169" s="69">
        <v>1</v>
      </c>
      <c r="E169" s="69"/>
      <c r="F169" s="69"/>
      <c r="G169" s="70"/>
      <c r="H169" s="71"/>
      <c r="P169" s="71"/>
      <c r="Q169" s="71"/>
      <c r="R169" s="71"/>
      <c r="S169" s="71"/>
    </row>
    <row r="170" spans="1:19" s="55" customFormat="1" ht="24.75" customHeight="1">
      <c r="A170" s="68"/>
      <c r="B170" s="69" t="s">
        <v>50</v>
      </c>
      <c r="C170" s="69">
        <v>27</v>
      </c>
      <c r="E170" s="69"/>
      <c r="F170" s="69"/>
      <c r="G170" s="70"/>
      <c r="H170" s="70"/>
      <c r="P170" s="71"/>
      <c r="Q170" s="71"/>
      <c r="R170" s="71"/>
      <c r="S170" s="71"/>
    </row>
    <row r="171" spans="1:19" s="55" customFormat="1" ht="24.75" customHeight="1">
      <c r="A171" s="68"/>
      <c r="B171" s="69"/>
      <c r="C171" s="69"/>
      <c r="E171" s="69"/>
      <c r="F171" s="69"/>
      <c r="G171" s="70"/>
      <c r="H171" s="70"/>
      <c r="P171" s="71"/>
      <c r="Q171" s="71"/>
      <c r="R171" s="71"/>
      <c r="S171" s="71"/>
    </row>
    <row r="172" spans="1:19" s="55" customFormat="1" ht="24.75" customHeight="1">
      <c r="A172" s="68"/>
      <c r="B172" s="69" t="s">
        <v>128</v>
      </c>
      <c r="C172" s="69">
        <v>27</v>
      </c>
      <c r="E172" s="69"/>
      <c r="F172" s="69"/>
      <c r="G172" s="70"/>
      <c r="H172" s="70"/>
      <c r="P172" s="71"/>
      <c r="R172" s="71"/>
      <c r="S172" s="71"/>
    </row>
    <row r="173" spans="1:19" s="55" customFormat="1" ht="24.75" customHeight="1">
      <c r="A173" s="68"/>
      <c r="B173" s="69" t="s">
        <v>59</v>
      </c>
      <c r="C173" s="69">
        <v>27</v>
      </c>
      <c r="E173" s="69"/>
      <c r="F173" s="69"/>
      <c r="G173" s="70"/>
      <c r="H173" s="70"/>
      <c r="P173" s="71"/>
      <c r="Q173" s="71"/>
      <c r="R173" s="71"/>
      <c r="S173" s="71"/>
    </row>
    <row r="174" spans="1:19" s="55" customFormat="1" ht="24.75" customHeight="1">
      <c r="A174" s="68"/>
      <c r="B174" s="69" t="s">
        <v>60</v>
      </c>
      <c r="C174" s="69">
        <v>0</v>
      </c>
      <c r="E174" s="69"/>
      <c r="F174" s="69"/>
      <c r="G174" s="70"/>
      <c r="H174" s="70"/>
      <c r="P174" s="71"/>
      <c r="Q174" s="71"/>
      <c r="R174" s="71"/>
      <c r="S174" s="71"/>
    </row>
    <row r="175" spans="1:19" s="55" customFormat="1" ht="24.75" customHeight="1">
      <c r="A175" s="68"/>
      <c r="B175" s="69" t="s">
        <v>61</v>
      </c>
      <c r="C175" s="69">
        <v>34</v>
      </c>
      <c r="E175" s="69"/>
      <c r="F175" s="69"/>
      <c r="G175" s="70"/>
      <c r="H175" s="70"/>
      <c r="P175" s="71"/>
      <c r="Q175" s="71"/>
      <c r="R175" s="71"/>
      <c r="S175" s="71"/>
    </row>
    <row r="176" spans="1:19" s="55" customFormat="1" ht="24.75" customHeight="1">
      <c r="A176" s="68"/>
      <c r="B176" s="69" t="s">
        <v>62</v>
      </c>
      <c r="C176" s="69">
        <v>27</v>
      </c>
      <c r="E176" s="69"/>
      <c r="F176" s="69"/>
      <c r="G176" s="70"/>
      <c r="H176" s="70"/>
      <c r="P176" s="71"/>
      <c r="Q176" s="71"/>
      <c r="R176" s="71"/>
      <c r="S176" s="71"/>
    </row>
    <row r="177" spans="1:19" s="55" customFormat="1" ht="24.75" customHeight="1">
      <c r="A177" s="68"/>
      <c r="B177" s="69" t="s">
        <v>63</v>
      </c>
      <c r="C177" s="69">
        <v>0</v>
      </c>
      <c r="E177" s="69"/>
      <c r="F177" s="69"/>
      <c r="G177" s="70"/>
      <c r="H177" s="70"/>
      <c r="P177" s="71"/>
      <c r="Q177" s="71"/>
      <c r="R177" s="71"/>
      <c r="S177" s="71"/>
    </row>
    <row r="178" spans="1:19" s="55" customFormat="1" ht="24.75" customHeight="1">
      <c r="A178" s="68"/>
      <c r="B178" s="69" t="s">
        <v>64</v>
      </c>
      <c r="C178" s="69">
        <v>27</v>
      </c>
      <c r="E178" s="69"/>
      <c r="F178" s="69"/>
      <c r="G178" s="70"/>
      <c r="H178" s="70"/>
      <c r="P178" s="71"/>
      <c r="Q178" s="71"/>
      <c r="R178" s="71"/>
      <c r="S178" s="71"/>
    </row>
    <row r="179" spans="1:19" s="55" customFormat="1" ht="24.75" customHeight="1">
      <c r="A179" s="68"/>
      <c r="B179" s="69" t="s">
        <v>66</v>
      </c>
      <c r="C179" s="69">
        <v>0</v>
      </c>
      <c r="E179" s="69"/>
      <c r="F179" s="69"/>
      <c r="G179" s="70"/>
      <c r="H179" s="70"/>
      <c r="P179" s="71"/>
      <c r="Q179" s="71"/>
      <c r="R179" s="71"/>
      <c r="S179" s="71"/>
    </row>
    <row r="180" spans="1:19" s="55" customFormat="1" ht="24.75" customHeight="1">
      <c r="A180" s="68"/>
      <c r="B180" s="69" t="s">
        <v>68</v>
      </c>
      <c r="C180" s="69">
        <v>0</v>
      </c>
      <c r="D180" s="71"/>
      <c r="E180" s="69"/>
      <c r="F180" s="69"/>
      <c r="H180" s="70"/>
      <c r="P180" s="71"/>
      <c r="Q180" s="71"/>
      <c r="R180" s="71"/>
      <c r="S180" s="71"/>
    </row>
    <row r="181" spans="1:19" s="55" customFormat="1" ht="24.75" customHeight="1">
      <c r="A181" s="68"/>
      <c r="B181" s="72" t="s">
        <v>69</v>
      </c>
      <c r="C181" s="72">
        <v>0</v>
      </c>
      <c r="D181" s="73"/>
      <c r="E181" s="72"/>
      <c r="F181" s="72"/>
      <c r="G181" s="54"/>
      <c r="H181" s="70"/>
      <c r="P181" s="71"/>
      <c r="Q181" s="71"/>
      <c r="R181" s="71"/>
      <c r="S181" s="71"/>
    </row>
    <row r="182" s="55" customFormat="1" ht="24.75" customHeight="1"/>
    <row r="183" s="55" customFormat="1" ht="24.75" customHeight="1">
      <c r="A183" s="54" t="s">
        <v>381</v>
      </c>
    </row>
    <row r="184" spans="1:6" s="55" customFormat="1" ht="24.75" customHeight="1">
      <c r="A184" s="74" t="s">
        <v>380</v>
      </c>
      <c r="C184" s="2"/>
      <c r="D184" s="2"/>
      <c r="E184" s="2"/>
      <c r="F184" s="2"/>
    </row>
    <row r="185" spans="2:6" s="55" customFormat="1" ht="24.75" customHeight="1">
      <c r="B185" s="74" t="s">
        <v>70</v>
      </c>
      <c r="C185" s="2"/>
      <c r="D185" s="2"/>
      <c r="E185" s="2"/>
      <c r="F185" s="2"/>
    </row>
    <row r="186" spans="2:6" s="55" customFormat="1" ht="24.75" customHeight="1">
      <c r="B186" s="74"/>
      <c r="C186" s="2"/>
      <c r="D186" s="2"/>
      <c r="E186" s="2"/>
      <c r="F186" s="2"/>
    </row>
    <row r="187" spans="3:7" s="55" customFormat="1" ht="24.75" customHeight="1">
      <c r="C187" s="75" t="s">
        <v>53</v>
      </c>
      <c r="D187" s="75" t="s">
        <v>54</v>
      </c>
      <c r="E187" s="75" t="s">
        <v>55</v>
      </c>
      <c r="F187" s="75"/>
      <c r="G187" s="75"/>
    </row>
    <row r="188" spans="3:7" s="55" customFormat="1" ht="24.75" customHeight="1">
      <c r="C188" s="69" t="s">
        <v>36</v>
      </c>
      <c r="D188" s="76">
        <v>4</v>
      </c>
      <c r="E188" s="76">
        <v>0</v>
      </c>
      <c r="F188" s="76"/>
      <c r="G188" s="76"/>
    </row>
    <row r="189" spans="3:7" s="55" customFormat="1" ht="24.75" customHeight="1">
      <c r="C189" s="69" t="s">
        <v>49</v>
      </c>
      <c r="D189" s="76">
        <v>3</v>
      </c>
      <c r="E189" s="76">
        <v>0</v>
      </c>
      <c r="F189" s="76"/>
      <c r="G189" s="76"/>
    </row>
    <row r="190" spans="3:7" s="55" customFormat="1" ht="24.75" customHeight="1">
      <c r="C190" s="69" t="s">
        <v>50</v>
      </c>
      <c r="D190" s="76">
        <v>1</v>
      </c>
      <c r="E190" s="76">
        <v>25</v>
      </c>
      <c r="F190" s="76"/>
      <c r="G190" s="76"/>
    </row>
    <row r="191" spans="3:7" s="55" customFormat="1" ht="24.75" customHeight="1">
      <c r="C191" s="69"/>
      <c r="D191" s="76">
        <v>2</v>
      </c>
      <c r="E191" s="76"/>
      <c r="F191" s="76"/>
      <c r="G191" s="76"/>
    </row>
    <row r="192" spans="3:7" s="55" customFormat="1" ht="24.75" customHeight="1">
      <c r="C192" s="69" t="s">
        <v>128</v>
      </c>
      <c r="D192" s="76">
        <v>3</v>
      </c>
      <c r="E192" s="76">
        <v>25</v>
      </c>
      <c r="F192" s="76"/>
      <c r="G192" s="76"/>
    </row>
    <row r="193" spans="3:7" s="55" customFormat="1" ht="24.75" customHeight="1">
      <c r="C193" s="69" t="s">
        <v>59</v>
      </c>
      <c r="D193" s="76">
        <v>12</v>
      </c>
      <c r="E193" s="76">
        <v>25</v>
      </c>
      <c r="F193" s="76"/>
      <c r="G193" s="76"/>
    </row>
    <row r="194" spans="3:7" s="55" customFormat="1" ht="24.75" customHeight="1">
      <c r="C194" s="69" t="s">
        <v>60</v>
      </c>
      <c r="D194" s="76">
        <v>5</v>
      </c>
      <c r="E194" s="76">
        <v>0</v>
      </c>
      <c r="F194" s="76"/>
      <c r="G194" s="76"/>
    </row>
    <row r="195" spans="3:7" s="55" customFormat="1" ht="24.75" customHeight="1">
      <c r="C195" s="69" t="s">
        <v>61</v>
      </c>
      <c r="D195" s="76">
        <v>4</v>
      </c>
      <c r="E195" s="76">
        <v>34</v>
      </c>
      <c r="F195" s="76"/>
      <c r="G195" s="76"/>
    </row>
    <row r="196" spans="3:7" s="55" customFormat="1" ht="24.75" customHeight="1">
      <c r="C196" s="69" t="s">
        <v>62</v>
      </c>
      <c r="D196" s="76">
        <v>5</v>
      </c>
      <c r="E196" s="76">
        <v>25</v>
      </c>
      <c r="F196" s="76"/>
      <c r="G196" s="76"/>
    </row>
    <row r="197" spans="3:7" s="55" customFormat="1" ht="24.75" customHeight="1">
      <c r="C197" s="69" t="s">
        <v>63</v>
      </c>
      <c r="D197" s="76">
        <v>16</v>
      </c>
      <c r="E197" s="76">
        <v>0</v>
      </c>
      <c r="F197" s="76"/>
      <c r="G197" s="76"/>
    </row>
    <row r="198" spans="3:7" s="55" customFormat="1" ht="24.75" customHeight="1">
      <c r="C198" s="69" t="s">
        <v>64</v>
      </c>
      <c r="D198" s="76"/>
      <c r="E198" s="76">
        <v>25</v>
      </c>
      <c r="F198" s="76"/>
      <c r="G198" s="76"/>
    </row>
    <row r="199" spans="3:7" s="55" customFormat="1" ht="24.75" customHeight="1">
      <c r="C199" s="69" t="s">
        <v>66</v>
      </c>
      <c r="D199" s="76">
        <v>14</v>
      </c>
      <c r="E199" s="76">
        <v>0</v>
      </c>
      <c r="F199" s="76"/>
      <c r="G199" s="76"/>
    </row>
    <row r="200" spans="3:7" s="55" customFormat="1" ht="24.75" customHeight="1">
      <c r="C200" s="69" t="s">
        <v>68</v>
      </c>
      <c r="D200" s="76">
        <v>40</v>
      </c>
      <c r="E200" s="76">
        <v>0</v>
      </c>
      <c r="F200" s="76"/>
      <c r="G200" s="76"/>
    </row>
    <row r="201" spans="3:8" s="55" customFormat="1" ht="24.75" customHeight="1">
      <c r="C201" s="72" t="s">
        <v>69</v>
      </c>
      <c r="D201" s="77">
        <v>3</v>
      </c>
      <c r="E201" s="77">
        <v>0</v>
      </c>
      <c r="F201" s="77"/>
      <c r="G201" s="77"/>
      <c r="H201" s="8"/>
    </row>
    <row r="202" s="55" customFormat="1" ht="24.75" customHeight="1">
      <c r="B202" s="74"/>
    </row>
    <row r="203" s="55" customFormat="1" ht="24.75" customHeight="1">
      <c r="B203" s="74"/>
    </row>
    <row r="204" spans="2:8" s="55" customFormat="1" ht="24.75" customHeight="1">
      <c r="B204" s="55" t="s">
        <v>129</v>
      </c>
      <c r="H204" s="61"/>
    </row>
    <row r="205" s="55" customFormat="1" ht="24.75" customHeight="1"/>
    <row r="206" spans="8:15" s="55" customFormat="1" ht="24.75" customHeight="1">
      <c r="H206" s="55" t="s">
        <v>60</v>
      </c>
      <c r="I206" s="62"/>
      <c r="L206" s="55" t="s">
        <v>63</v>
      </c>
      <c r="M206" s="62">
        <v>40</v>
      </c>
      <c r="O206" s="55" t="s">
        <v>66</v>
      </c>
    </row>
    <row r="207" spans="8:20" s="55" customFormat="1" ht="24.75" customHeight="1">
      <c r="H207" s="55">
        <v>12</v>
      </c>
      <c r="O207" s="55">
        <v>3</v>
      </c>
      <c r="R207" s="55" t="s">
        <v>68</v>
      </c>
      <c r="T207" s="55" t="s">
        <v>69</v>
      </c>
    </row>
    <row r="208" spans="5:20" s="55" customFormat="1" ht="24.75" customHeight="1">
      <c r="E208" s="64" t="s">
        <v>49</v>
      </c>
      <c r="R208" s="63">
        <v>2</v>
      </c>
      <c r="T208" s="63">
        <v>1</v>
      </c>
    </row>
    <row r="209" spans="5:13" s="55" customFormat="1" ht="24.75" customHeight="1">
      <c r="E209" s="63"/>
      <c r="F209" s="62">
        <v>1</v>
      </c>
      <c r="I209" s="63" t="s">
        <v>61</v>
      </c>
      <c r="M209" s="63" t="s">
        <v>64</v>
      </c>
    </row>
    <row r="210" spans="3:14" s="55" customFormat="1" ht="24.75" customHeight="1">
      <c r="C210" s="55" t="s">
        <v>36</v>
      </c>
      <c r="E210" s="61"/>
      <c r="I210" s="55">
        <v>4</v>
      </c>
      <c r="N210" s="62">
        <v>14</v>
      </c>
    </row>
    <row r="211" spans="3:6" s="55" customFormat="1" ht="24.75" customHeight="1">
      <c r="C211" s="62">
        <v>4</v>
      </c>
      <c r="F211" s="64" t="s">
        <v>52</v>
      </c>
    </row>
    <row r="212" spans="3:6" s="55" customFormat="1" ht="24.75" customHeight="1">
      <c r="C212" s="62"/>
      <c r="F212" s="62">
        <v>3</v>
      </c>
    </row>
    <row r="213" s="55" customFormat="1" ht="24.75" customHeight="1">
      <c r="E213" s="64" t="s">
        <v>50</v>
      </c>
    </row>
    <row r="214" spans="7:12" s="55" customFormat="1" ht="24.75" customHeight="1">
      <c r="G214" s="63">
        <v>2</v>
      </c>
      <c r="H214" s="61"/>
      <c r="L214" s="55" t="s">
        <v>62</v>
      </c>
    </row>
    <row r="215" spans="8:12" s="55" customFormat="1" ht="24.75" customHeight="1">
      <c r="H215" s="55">
        <v>4</v>
      </c>
      <c r="J215" s="63">
        <v>3</v>
      </c>
      <c r="L215" s="63">
        <v>4</v>
      </c>
    </row>
    <row r="216" spans="7:10" s="55" customFormat="1" ht="24.75" customHeight="1">
      <c r="G216" s="63" t="s">
        <v>51</v>
      </c>
      <c r="J216" s="55" t="s">
        <v>59</v>
      </c>
    </row>
    <row r="217" s="55" customFormat="1" ht="24.75" customHeight="1"/>
    <row r="218" s="55" customFormat="1" ht="24.75" customHeight="1"/>
    <row r="219" s="55" customFormat="1" ht="24.75" customHeight="1"/>
    <row r="220" s="55" customFormat="1" ht="24.75" customHeight="1">
      <c r="B220" s="74"/>
    </row>
    <row r="221" spans="2:21" s="55" customFormat="1" ht="24.75" customHeight="1">
      <c r="B221" s="143" t="s">
        <v>372</v>
      </c>
      <c r="C221" s="144"/>
      <c r="D221" s="144"/>
      <c r="E221" s="144"/>
      <c r="F221" s="144"/>
      <c r="G221" s="144"/>
      <c r="H221" s="144"/>
      <c r="I221" s="144"/>
      <c r="J221" s="144"/>
      <c r="K221" s="144"/>
      <c r="L221" s="144"/>
      <c r="M221" s="144"/>
      <c r="N221" s="144"/>
      <c r="O221" s="144"/>
      <c r="P221" s="144"/>
      <c r="Q221" s="144"/>
      <c r="R221" s="144"/>
      <c r="S221" s="144"/>
      <c r="T221" s="144"/>
      <c r="U221" s="144"/>
    </row>
    <row r="222" spans="2:21" s="55" customFormat="1" ht="24.75" customHeight="1">
      <c r="B222" s="144"/>
      <c r="C222" s="144"/>
      <c r="D222" s="144"/>
      <c r="E222" s="144"/>
      <c r="F222" s="144"/>
      <c r="G222" s="144"/>
      <c r="H222" s="144"/>
      <c r="I222" s="144"/>
      <c r="J222" s="144"/>
      <c r="K222" s="144"/>
      <c r="L222" s="144"/>
      <c r="M222" s="144"/>
      <c r="N222" s="144"/>
      <c r="O222" s="144"/>
      <c r="P222" s="144"/>
      <c r="Q222" s="144"/>
      <c r="R222" s="144"/>
      <c r="S222" s="144"/>
      <c r="T222" s="144"/>
      <c r="U222" s="144"/>
    </row>
    <row r="223" spans="2:6" s="55" customFormat="1" ht="24.75" customHeight="1">
      <c r="B223" s="74" t="s">
        <v>373</v>
      </c>
      <c r="C223" s="2"/>
      <c r="D223" s="2"/>
      <c r="E223" s="2"/>
      <c r="F223" s="2"/>
    </row>
    <row r="224" spans="2:18" s="55" customFormat="1" ht="24.75" customHeight="1">
      <c r="B224" s="74" t="s">
        <v>374</v>
      </c>
      <c r="C224" s="2"/>
      <c r="D224" s="2"/>
      <c r="E224" s="2"/>
      <c r="F224" s="2"/>
      <c r="R224" s="8"/>
    </row>
    <row r="225" s="55" customFormat="1" ht="24.75" customHeight="1"/>
    <row r="227" spans="1:21" s="80" customFormat="1" ht="24.75" customHeight="1">
      <c r="A227" s="78" t="s">
        <v>322</v>
      </c>
      <c r="B227" s="79"/>
      <c r="R227" s="81"/>
      <c r="S227" s="81"/>
      <c r="T227" s="81"/>
      <c r="U227" s="81"/>
    </row>
    <row r="228" spans="1:21" ht="24.75" customHeight="1">
      <c r="A228" s="33"/>
      <c r="J228" s="2"/>
      <c r="K228" s="2"/>
      <c r="R228" s="3"/>
      <c r="S228" s="3"/>
      <c r="T228" s="3"/>
      <c r="U228" s="3"/>
    </row>
    <row r="229" spans="1:21" ht="24.75" customHeight="1">
      <c r="A229" s="38" t="s">
        <v>132</v>
      </c>
      <c r="B229" s="2" t="s">
        <v>133</v>
      </c>
      <c r="J229" s="2"/>
      <c r="K229" s="2"/>
      <c r="R229" s="3"/>
      <c r="S229" s="3"/>
      <c r="T229" s="3"/>
      <c r="U229" s="3"/>
    </row>
    <row r="230" spans="1:21" ht="24.75" customHeight="1">
      <c r="A230" s="38"/>
      <c r="J230" s="2"/>
      <c r="K230" s="2"/>
      <c r="R230" s="3"/>
      <c r="S230" s="3"/>
      <c r="T230" s="3"/>
      <c r="U230" s="3"/>
    </row>
    <row r="231" spans="1:21" ht="24.75" customHeight="1">
      <c r="A231" s="38"/>
      <c r="B231" s="2" t="s">
        <v>134</v>
      </c>
      <c r="J231" s="2"/>
      <c r="K231" s="2"/>
      <c r="R231" s="3"/>
      <c r="S231" s="3"/>
      <c r="T231" s="3"/>
      <c r="U231" s="3"/>
    </row>
    <row r="232" spans="1:21" ht="24.75" customHeight="1">
      <c r="A232" s="38"/>
      <c r="B232" s="2" t="s">
        <v>135</v>
      </c>
      <c r="J232" s="2"/>
      <c r="K232" s="2"/>
      <c r="R232" s="3"/>
      <c r="S232" s="3"/>
      <c r="T232" s="3"/>
      <c r="U232" s="3"/>
    </row>
    <row r="233" spans="1:21" ht="24.75" customHeight="1">
      <c r="A233" s="38"/>
      <c r="J233" s="2"/>
      <c r="K233" s="2"/>
      <c r="R233" s="3"/>
      <c r="S233" s="3"/>
      <c r="T233" s="3"/>
      <c r="U233" s="3"/>
    </row>
    <row r="234" spans="1:21" ht="24.75" customHeight="1">
      <c r="A234" s="38"/>
      <c r="J234" s="2"/>
      <c r="K234" s="2"/>
      <c r="R234" s="3"/>
      <c r="S234" s="3"/>
      <c r="T234" s="3"/>
      <c r="U234" s="3"/>
    </row>
    <row r="235" spans="1:21" ht="24.75" customHeight="1">
      <c r="A235" s="38" t="s">
        <v>130</v>
      </c>
      <c r="B235" s="145" t="s">
        <v>112</v>
      </c>
      <c r="C235" s="145"/>
      <c r="D235" s="145"/>
      <c r="E235" s="145"/>
      <c r="F235" s="145"/>
      <c r="G235" s="145"/>
      <c r="H235" s="145"/>
      <c r="I235" s="145"/>
      <c r="J235" s="145"/>
      <c r="K235" s="2"/>
      <c r="R235" s="3"/>
      <c r="S235" s="3"/>
      <c r="T235" s="3"/>
      <c r="U235" s="3"/>
    </row>
    <row r="236" spans="1:21" ht="24.75" customHeight="1">
      <c r="A236" s="33" t="s">
        <v>136</v>
      </c>
      <c r="B236" s="145"/>
      <c r="C236" s="145"/>
      <c r="D236" s="145"/>
      <c r="E236" s="145"/>
      <c r="F236" s="145"/>
      <c r="G236" s="145"/>
      <c r="H236" s="145"/>
      <c r="I236" s="145"/>
      <c r="J236" s="145"/>
      <c r="K236" s="2"/>
      <c r="R236" s="3"/>
      <c r="S236" s="3"/>
      <c r="T236" s="3"/>
      <c r="U236" s="3"/>
    </row>
    <row r="237" spans="1:21" ht="24.75" customHeight="1">
      <c r="A237" s="33"/>
      <c r="B237" s="145"/>
      <c r="C237" s="145"/>
      <c r="D237" s="145"/>
      <c r="E237" s="145"/>
      <c r="F237" s="145"/>
      <c r="G237" s="145"/>
      <c r="H237" s="145"/>
      <c r="I237" s="145"/>
      <c r="J237" s="145"/>
      <c r="K237" s="8"/>
      <c r="R237" s="3"/>
      <c r="S237" s="3"/>
      <c r="T237" s="3"/>
      <c r="U237" s="3"/>
    </row>
    <row r="238" spans="1:21" ht="24.75" customHeight="1">
      <c r="A238" s="33"/>
      <c r="J238" s="2"/>
      <c r="K238" s="2"/>
      <c r="R238" s="3"/>
      <c r="S238" s="3"/>
      <c r="T238" s="3"/>
      <c r="U238" s="3"/>
    </row>
    <row r="239" spans="1:21" ht="24.75" customHeight="1">
      <c r="A239" s="33"/>
      <c r="B239" s="2" t="s">
        <v>97</v>
      </c>
      <c r="J239" s="2"/>
      <c r="K239" s="2"/>
      <c r="R239" s="3"/>
      <c r="S239" s="3"/>
      <c r="T239" s="3"/>
      <c r="U239" s="3"/>
    </row>
    <row r="240" spans="1:21" ht="24.75" customHeight="1">
      <c r="A240" s="33"/>
      <c r="B240" s="82" t="s">
        <v>98</v>
      </c>
      <c r="J240" s="2"/>
      <c r="K240" s="2"/>
      <c r="R240" s="3"/>
      <c r="S240" s="3"/>
      <c r="T240" s="3"/>
      <c r="U240" s="3"/>
    </row>
    <row r="241" spans="1:21" ht="24.75" customHeight="1">
      <c r="A241" s="33"/>
      <c r="B241" s="82" t="s">
        <v>118</v>
      </c>
      <c r="J241" s="2"/>
      <c r="K241" s="2"/>
      <c r="R241" s="3"/>
      <c r="S241" s="3"/>
      <c r="T241" s="3"/>
      <c r="U241" s="3"/>
    </row>
    <row r="242" spans="1:21" ht="24.75" customHeight="1">
      <c r="A242" s="33"/>
      <c r="B242" s="82" t="s">
        <v>99</v>
      </c>
      <c r="J242" s="2"/>
      <c r="K242" s="2"/>
      <c r="R242" s="3"/>
      <c r="S242" s="3"/>
      <c r="T242" s="3"/>
      <c r="U242" s="3"/>
    </row>
    <row r="243" spans="1:21" ht="24.75" customHeight="1">
      <c r="A243" s="33"/>
      <c r="B243" s="82" t="s">
        <v>119</v>
      </c>
      <c r="J243" s="2"/>
      <c r="K243" s="8" t="s">
        <v>100</v>
      </c>
      <c r="R243" s="3"/>
      <c r="S243" s="3"/>
      <c r="T243" s="3"/>
      <c r="U243" s="3"/>
    </row>
    <row r="244" spans="1:21" ht="24.75" customHeight="1">
      <c r="A244" s="33"/>
      <c r="J244" s="2"/>
      <c r="K244" s="2"/>
      <c r="R244" s="3"/>
      <c r="S244" s="3"/>
      <c r="T244" s="3"/>
      <c r="U244" s="3"/>
    </row>
    <row r="245" spans="1:21" ht="24.75" customHeight="1">
      <c r="A245" s="33"/>
      <c r="J245" s="2"/>
      <c r="K245" s="2"/>
      <c r="R245" s="3"/>
      <c r="S245" s="3"/>
      <c r="T245" s="3"/>
      <c r="U245" s="3"/>
    </row>
    <row r="246" spans="1:21" ht="24.75" customHeight="1">
      <c r="A246" s="33"/>
      <c r="B246" s="83" t="s">
        <v>47</v>
      </c>
      <c r="J246" s="2"/>
      <c r="K246" s="2"/>
      <c r="R246" s="3"/>
      <c r="S246" s="3"/>
      <c r="T246" s="3"/>
      <c r="U246" s="3"/>
    </row>
    <row r="247" spans="1:21" ht="24.75" customHeight="1">
      <c r="A247" s="33"/>
      <c r="B247" s="82" t="s">
        <v>73</v>
      </c>
      <c r="J247" s="2"/>
      <c r="K247" s="2"/>
      <c r="R247" s="3"/>
      <c r="S247" s="3"/>
      <c r="T247" s="3"/>
      <c r="U247" s="3"/>
    </row>
    <row r="248" spans="1:21" ht="24.75" customHeight="1">
      <c r="A248" s="33"/>
      <c r="B248" s="82" t="s">
        <v>48</v>
      </c>
      <c r="J248" s="2"/>
      <c r="K248" s="2"/>
      <c r="R248" s="3"/>
      <c r="S248" s="3"/>
      <c r="T248" s="3"/>
      <c r="U248" s="3"/>
    </row>
    <row r="249" spans="1:21" ht="24.75" customHeight="1">
      <c r="A249" s="33"/>
      <c r="B249" s="82" t="s">
        <v>74</v>
      </c>
      <c r="J249" s="2"/>
      <c r="K249" s="2"/>
      <c r="R249" s="3"/>
      <c r="S249" s="3"/>
      <c r="T249" s="3"/>
      <c r="U249" s="3"/>
    </row>
    <row r="250" spans="1:21" ht="24.75" customHeight="1">
      <c r="A250" s="33"/>
      <c r="B250" s="82" t="s">
        <v>75</v>
      </c>
      <c r="J250" s="2"/>
      <c r="K250" s="2"/>
      <c r="R250" s="3"/>
      <c r="S250" s="3"/>
      <c r="T250" s="3"/>
      <c r="U250" s="3"/>
    </row>
    <row r="251" spans="1:21" ht="24.75" customHeight="1">
      <c r="A251" s="33"/>
      <c r="B251" s="82" t="s">
        <v>76</v>
      </c>
      <c r="J251" s="2"/>
      <c r="K251" s="2"/>
      <c r="R251" s="3"/>
      <c r="S251" s="3"/>
      <c r="T251" s="3"/>
      <c r="U251" s="3"/>
    </row>
    <row r="252" spans="1:21" ht="24.75" customHeight="1">
      <c r="A252" s="33"/>
      <c r="B252" s="82" t="s">
        <v>77</v>
      </c>
      <c r="J252" s="2"/>
      <c r="K252" s="2"/>
      <c r="L252" s="8"/>
      <c r="R252" s="3"/>
      <c r="S252" s="3"/>
      <c r="T252" s="3"/>
      <c r="U252" s="3"/>
    </row>
    <row r="253" spans="1:21" ht="24.75" customHeight="1">
      <c r="A253" s="33"/>
      <c r="B253" s="82" t="s">
        <v>78</v>
      </c>
      <c r="J253" s="2"/>
      <c r="K253" s="2"/>
      <c r="R253" s="3"/>
      <c r="S253" s="3"/>
      <c r="T253" s="3"/>
      <c r="U253" s="3"/>
    </row>
    <row r="254" spans="1:21" ht="24.75" customHeight="1">
      <c r="A254" s="33"/>
      <c r="J254" s="2"/>
      <c r="K254" s="2"/>
      <c r="R254" s="3"/>
      <c r="S254" s="3"/>
      <c r="T254" s="3"/>
      <c r="U254" s="3"/>
    </row>
    <row r="255" spans="1:21" ht="24.75" customHeight="1">
      <c r="A255" s="33"/>
      <c r="J255" s="2"/>
      <c r="K255" s="2"/>
      <c r="R255" s="3"/>
      <c r="S255" s="3"/>
      <c r="T255" s="3"/>
      <c r="U255" s="3"/>
    </row>
    <row r="256" spans="1:21" ht="24.75" customHeight="1">
      <c r="A256" s="33"/>
      <c r="B256" s="8" t="s">
        <v>79</v>
      </c>
      <c r="J256" s="2"/>
      <c r="K256" s="2"/>
      <c r="R256" s="3"/>
      <c r="S256" s="3"/>
      <c r="T256" s="3"/>
      <c r="U256" s="3"/>
    </row>
    <row r="257" spans="1:21" ht="24.75" customHeight="1">
      <c r="A257" s="38" t="s">
        <v>131</v>
      </c>
      <c r="J257" s="2"/>
      <c r="K257" s="2"/>
      <c r="R257" s="3"/>
      <c r="S257" s="3"/>
      <c r="T257" s="3"/>
      <c r="U257" s="3"/>
    </row>
    <row r="258" spans="1:21" ht="24.75" customHeight="1">
      <c r="A258" s="33"/>
      <c r="B258" s="8" t="s">
        <v>80</v>
      </c>
      <c r="J258" s="2"/>
      <c r="K258" s="2"/>
      <c r="R258" s="3"/>
      <c r="S258" s="3"/>
      <c r="T258" s="3"/>
      <c r="U258" s="3"/>
    </row>
    <row r="259" spans="1:21" ht="24.75" customHeight="1">
      <c r="A259" s="33"/>
      <c r="J259" s="2"/>
      <c r="K259" s="2"/>
      <c r="R259" s="3"/>
      <c r="S259" s="3"/>
      <c r="T259" s="3"/>
      <c r="U259" s="3"/>
    </row>
    <row r="260" spans="1:21" ht="24.75" customHeight="1">
      <c r="A260" s="33"/>
      <c r="B260" s="10"/>
      <c r="C260" s="10"/>
      <c r="D260" s="10" t="s">
        <v>104</v>
      </c>
      <c r="E260" s="10"/>
      <c r="F260" s="84" t="s">
        <v>105</v>
      </c>
      <c r="G260" s="10"/>
      <c r="J260" s="2"/>
      <c r="K260" s="2"/>
      <c r="R260" s="3"/>
      <c r="S260" s="3"/>
      <c r="T260" s="3"/>
      <c r="U260" s="3"/>
    </row>
    <row r="261" spans="1:21" ht="24.75" customHeight="1">
      <c r="A261" s="33"/>
      <c r="J261" s="2"/>
      <c r="K261" s="2"/>
      <c r="R261" s="3"/>
      <c r="S261" s="3"/>
      <c r="T261" s="3"/>
      <c r="U261" s="3"/>
    </row>
    <row r="262" spans="1:21" ht="24.75" customHeight="1">
      <c r="A262" s="33"/>
      <c r="B262" s="2" t="s">
        <v>102</v>
      </c>
      <c r="D262" s="2">
        <v>500</v>
      </c>
      <c r="E262" s="2" t="s">
        <v>37</v>
      </c>
      <c r="F262" s="2">
        <v>750</v>
      </c>
      <c r="G262" s="2" t="s">
        <v>38</v>
      </c>
      <c r="I262" s="8"/>
      <c r="J262" s="2"/>
      <c r="K262" s="2"/>
      <c r="R262" s="3"/>
      <c r="S262" s="3"/>
      <c r="T262" s="3"/>
      <c r="U262" s="3"/>
    </row>
    <row r="263" spans="1:21" ht="24.75" customHeight="1">
      <c r="A263" s="33"/>
      <c r="I263" s="8"/>
      <c r="J263" s="2"/>
      <c r="K263" s="2"/>
      <c r="R263" s="3"/>
      <c r="S263" s="3"/>
      <c r="T263" s="3"/>
      <c r="U263" s="3"/>
    </row>
    <row r="264" spans="1:21" ht="24.75" customHeight="1">
      <c r="A264" s="33"/>
      <c r="B264" s="2" t="s">
        <v>81</v>
      </c>
      <c r="D264" s="2">
        <v>650</v>
      </c>
      <c r="F264" s="2">
        <v>700</v>
      </c>
      <c r="I264" s="8"/>
      <c r="J264" s="2"/>
      <c r="K264" s="2"/>
      <c r="R264" s="3"/>
      <c r="S264" s="3"/>
      <c r="T264" s="3"/>
      <c r="U264" s="3"/>
    </row>
    <row r="265" spans="1:21" ht="24.75" customHeight="1">
      <c r="A265" s="33"/>
      <c r="I265" s="8"/>
      <c r="J265" s="2"/>
      <c r="K265" s="2"/>
      <c r="R265" s="3"/>
      <c r="S265" s="3"/>
      <c r="T265" s="3"/>
      <c r="U265" s="3"/>
    </row>
    <row r="266" spans="1:21" ht="24.75" customHeight="1">
      <c r="A266" s="33"/>
      <c r="B266" s="85" t="s">
        <v>82</v>
      </c>
      <c r="C266" s="85"/>
      <c r="D266" s="85">
        <f>D264-D262</f>
        <v>150</v>
      </c>
      <c r="E266" s="85"/>
      <c r="F266" s="85">
        <f>F264-F262</f>
        <v>-50</v>
      </c>
      <c r="G266" s="85"/>
      <c r="I266" s="8"/>
      <c r="J266" s="2"/>
      <c r="K266" s="2"/>
      <c r="R266" s="3"/>
      <c r="S266" s="3"/>
      <c r="T266" s="3"/>
      <c r="U266" s="3"/>
    </row>
    <row r="267" spans="1:21" ht="24.75" customHeight="1">
      <c r="A267" s="33"/>
      <c r="J267" s="2"/>
      <c r="K267" s="2"/>
      <c r="R267" s="3"/>
      <c r="S267" s="3"/>
      <c r="T267" s="3"/>
      <c r="U267" s="3"/>
    </row>
    <row r="268" spans="1:21" ht="24.75" customHeight="1">
      <c r="A268" s="33"/>
      <c r="J268" s="2"/>
      <c r="K268" s="2"/>
      <c r="R268" s="3"/>
      <c r="S268" s="3"/>
      <c r="T268" s="3"/>
      <c r="U268" s="3"/>
    </row>
    <row r="269" spans="1:21" ht="24.75" customHeight="1">
      <c r="A269" s="33"/>
      <c r="J269" s="2"/>
      <c r="K269" s="2"/>
      <c r="R269" s="3"/>
      <c r="S269" s="3"/>
      <c r="T269" s="3"/>
      <c r="U269" s="3"/>
    </row>
    <row r="270" spans="1:21" ht="24.75" customHeight="1">
      <c r="A270" s="33"/>
      <c r="B270" s="2" t="s">
        <v>103</v>
      </c>
      <c r="C270" s="2" t="s">
        <v>117</v>
      </c>
      <c r="D270" s="2" t="s">
        <v>39</v>
      </c>
      <c r="E270" s="2">
        <f>5000/25</f>
        <v>200</v>
      </c>
      <c r="J270" s="2"/>
      <c r="K270" s="2"/>
      <c r="R270" s="3"/>
      <c r="S270" s="3"/>
      <c r="T270" s="3"/>
      <c r="U270" s="3"/>
    </row>
    <row r="271" spans="1:21" ht="24.75" customHeight="1">
      <c r="A271" s="33"/>
      <c r="J271" s="2"/>
      <c r="K271" s="2"/>
      <c r="R271" s="3"/>
      <c r="S271" s="3"/>
      <c r="T271" s="3"/>
      <c r="U271" s="3"/>
    </row>
    <row r="272" spans="1:21" ht="24.75" customHeight="1">
      <c r="A272" s="33"/>
      <c r="B272" s="9"/>
      <c r="C272" s="9"/>
      <c r="D272" s="9"/>
      <c r="E272" s="86" t="s">
        <v>109</v>
      </c>
      <c r="F272" s="9"/>
      <c r="G272" s="87" t="s">
        <v>40</v>
      </c>
      <c r="H272" s="9"/>
      <c r="I272" s="86" t="s">
        <v>43</v>
      </c>
      <c r="J272" s="2"/>
      <c r="K272" s="2"/>
      <c r="R272" s="3"/>
      <c r="S272" s="3"/>
      <c r="T272" s="3"/>
      <c r="U272" s="3"/>
    </row>
    <row r="273" spans="1:21" ht="24.75" customHeight="1">
      <c r="A273" s="33"/>
      <c r="G273" s="33"/>
      <c r="I273" s="33"/>
      <c r="J273" s="2"/>
      <c r="K273" s="2"/>
      <c r="R273" s="3"/>
      <c r="S273" s="3"/>
      <c r="T273" s="3"/>
      <c r="U273" s="3"/>
    </row>
    <row r="274" spans="1:21" ht="24.75" customHeight="1">
      <c r="A274" s="33"/>
      <c r="B274" s="2" t="s">
        <v>83</v>
      </c>
      <c r="D274" s="8" t="s">
        <v>71</v>
      </c>
      <c r="E274" s="33">
        <f>200*2.5</f>
        <v>500</v>
      </c>
      <c r="F274" s="8"/>
      <c r="G274" s="33">
        <f>4.5*200</f>
        <v>900</v>
      </c>
      <c r="H274" s="8"/>
      <c r="I274" s="33">
        <f>6*200</f>
        <v>1200</v>
      </c>
      <c r="J274" s="2"/>
      <c r="K274" s="2"/>
      <c r="R274" s="3"/>
      <c r="S274" s="3"/>
      <c r="T274" s="3"/>
      <c r="U274" s="3"/>
    </row>
    <row r="275" spans="1:21" ht="24.75" customHeight="1">
      <c r="A275" s="33"/>
      <c r="E275" s="33" t="s">
        <v>89</v>
      </c>
      <c r="G275" s="33" t="s">
        <v>42</v>
      </c>
      <c r="I275" s="33" t="s">
        <v>44</v>
      </c>
      <c r="J275" s="2"/>
      <c r="K275" s="2"/>
      <c r="R275" s="3"/>
      <c r="S275" s="3"/>
      <c r="T275" s="3"/>
      <c r="U275" s="3"/>
    </row>
    <row r="276" spans="1:21" ht="24.75" customHeight="1">
      <c r="A276" s="33"/>
      <c r="E276" s="33"/>
      <c r="G276" s="33"/>
      <c r="I276" s="33"/>
      <c r="J276" s="2"/>
      <c r="K276" s="2"/>
      <c r="R276" s="3"/>
      <c r="S276" s="3"/>
      <c r="T276" s="3"/>
      <c r="U276" s="3"/>
    </row>
    <row r="277" spans="1:21" ht="24.75" customHeight="1">
      <c r="A277" s="33"/>
      <c r="B277" s="2" t="s">
        <v>84</v>
      </c>
      <c r="D277" s="8"/>
      <c r="E277" s="33">
        <f>2*8*26</f>
        <v>416</v>
      </c>
      <c r="F277" s="8"/>
      <c r="G277" s="33">
        <f>4*8*26</f>
        <v>832</v>
      </c>
      <c r="H277" s="8"/>
      <c r="I277" s="33">
        <v>1456</v>
      </c>
      <c r="J277" s="2"/>
      <c r="K277" s="2"/>
      <c r="R277" s="3"/>
      <c r="S277" s="3"/>
      <c r="T277" s="3"/>
      <c r="U277" s="3"/>
    </row>
    <row r="278" spans="1:21" ht="24.75" customHeight="1">
      <c r="A278" s="33"/>
      <c r="E278" s="33" t="s">
        <v>88</v>
      </c>
      <c r="G278" s="33" t="s">
        <v>41</v>
      </c>
      <c r="I278" s="33" t="s">
        <v>45</v>
      </c>
      <c r="J278" s="2"/>
      <c r="K278" s="2"/>
      <c r="R278" s="3"/>
      <c r="S278" s="3"/>
      <c r="T278" s="3"/>
      <c r="U278" s="3"/>
    </row>
    <row r="279" spans="1:21" ht="24.75" customHeight="1">
      <c r="A279" s="33"/>
      <c r="B279" s="85" t="s">
        <v>82</v>
      </c>
      <c r="C279" s="85"/>
      <c r="D279" s="85"/>
      <c r="E279" s="88">
        <v>-84</v>
      </c>
      <c r="F279" s="85"/>
      <c r="G279" s="88">
        <f>G277-G274</f>
        <v>-68</v>
      </c>
      <c r="H279" s="85"/>
      <c r="I279" s="88">
        <f>I277-I274</f>
        <v>256</v>
      </c>
      <c r="J279" s="2"/>
      <c r="K279" s="2"/>
      <c r="R279" s="3"/>
      <c r="S279" s="3"/>
      <c r="T279" s="3"/>
      <c r="U279" s="3"/>
    </row>
    <row r="280" spans="1:21" ht="24.75" customHeight="1">
      <c r="A280" s="33"/>
      <c r="J280" s="2"/>
      <c r="K280" s="2"/>
      <c r="R280" s="3"/>
      <c r="S280" s="3"/>
      <c r="T280" s="3"/>
      <c r="U280" s="3"/>
    </row>
    <row r="281" spans="1:21" ht="24.75" customHeight="1">
      <c r="A281" s="33"/>
      <c r="J281" s="2"/>
      <c r="K281" s="2"/>
      <c r="R281" s="3"/>
      <c r="S281" s="3"/>
      <c r="T281" s="3"/>
      <c r="U281" s="3"/>
    </row>
    <row r="282" spans="1:21" ht="24.75" customHeight="1">
      <c r="A282" s="33"/>
      <c r="B282" s="8" t="s">
        <v>85</v>
      </c>
      <c r="J282" s="2"/>
      <c r="K282" s="2"/>
      <c r="R282" s="3"/>
      <c r="S282" s="3"/>
      <c r="T282" s="3"/>
      <c r="U282" s="3"/>
    </row>
    <row r="283" spans="1:21" ht="24.75" customHeight="1">
      <c r="A283" s="33"/>
      <c r="J283" s="2"/>
      <c r="K283" s="2"/>
      <c r="R283" s="3"/>
      <c r="S283" s="3"/>
      <c r="T283" s="3"/>
      <c r="U283" s="3"/>
    </row>
    <row r="284" spans="1:21" ht="24.75" customHeight="1">
      <c r="A284" s="33"/>
      <c r="B284" s="8" t="s">
        <v>46</v>
      </c>
      <c r="D284" s="2" t="s">
        <v>101</v>
      </c>
      <c r="J284" s="2"/>
      <c r="K284" s="2"/>
      <c r="R284" s="3"/>
      <c r="S284" s="3"/>
      <c r="T284" s="3"/>
      <c r="U284" s="3"/>
    </row>
    <row r="285" spans="1:21" ht="24.75" customHeight="1">
      <c r="A285" s="33"/>
      <c r="J285" s="2"/>
      <c r="K285" s="2"/>
      <c r="R285" s="3"/>
      <c r="S285" s="3"/>
      <c r="T285" s="3"/>
      <c r="U285" s="3"/>
    </row>
    <row r="286" spans="1:21" ht="24.75" customHeight="1">
      <c r="A286" s="33"/>
      <c r="D286" s="2" t="s">
        <v>106</v>
      </c>
      <c r="J286" s="2"/>
      <c r="K286" s="2"/>
      <c r="R286" s="3"/>
      <c r="S286" s="3"/>
      <c r="T286" s="3"/>
      <c r="U286" s="3"/>
    </row>
    <row r="287" spans="1:21" ht="24.75" customHeight="1">
      <c r="A287" s="33"/>
      <c r="D287" s="2" t="s">
        <v>107</v>
      </c>
      <c r="J287" s="2"/>
      <c r="K287" s="2"/>
      <c r="R287" s="3"/>
      <c r="S287" s="3"/>
      <c r="T287" s="3"/>
      <c r="U287" s="3"/>
    </row>
    <row r="288" spans="1:21" ht="24.75" customHeight="1">
      <c r="A288" s="33"/>
      <c r="D288" s="2" t="s">
        <v>108</v>
      </c>
      <c r="J288" s="2"/>
      <c r="K288" s="2"/>
      <c r="R288" s="3"/>
      <c r="S288" s="3"/>
      <c r="T288" s="3"/>
      <c r="U288" s="3"/>
    </row>
    <row r="289" spans="1:21" ht="24.75" customHeight="1">
      <c r="A289" s="33"/>
      <c r="J289" s="2"/>
      <c r="K289" s="2"/>
      <c r="R289" s="3"/>
      <c r="S289" s="3"/>
      <c r="T289" s="3"/>
      <c r="U289" s="3"/>
    </row>
    <row r="290" spans="1:21" ht="24.75" customHeight="1">
      <c r="A290" s="33"/>
      <c r="B290" s="8" t="s">
        <v>86</v>
      </c>
      <c r="J290" s="2"/>
      <c r="K290" s="2"/>
      <c r="R290" s="3"/>
      <c r="S290" s="3"/>
      <c r="T290" s="3"/>
      <c r="U290" s="3"/>
    </row>
    <row r="291" spans="1:21" ht="24.75" customHeight="1">
      <c r="A291" s="33"/>
      <c r="J291" s="2"/>
      <c r="K291" s="2"/>
      <c r="R291" s="3"/>
      <c r="S291" s="3"/>
      <c r="T291" s="3"/>
      <c r="U291" s="3"/>
    </row>
    <row r="292" spans="1:21" ht="24.75" customHeight="1">
      <c r="A292" s="33"/>
      <c r="C292" s="2" t="s">
        <v>110</v>
      </c>
      <c r="J292" s="2"/>
      <c r="K292" s="2"/>
      <c r="R292" s="3"/>
      <c r="S292" s="3"/>
      <c r="T292" s="3"/>
      <c r="U292" s="3"/>
    </row>
    <row r="293" spans="1:21" ht="24.75" customHeight="1">
      <c r="A293" s="33"/>
      <c r="C293" s="2" t="s">
        <v>87</v>
      </c>
      <c r="J293" s="2"/>
      <c r="K293" s="2"/>
      <c r="R293" s="3"/>
      <c r="S293" s="3"/>
      <c r="T293" s="3"/>
      <c r="U293" s="3"/>
    </row>
    <row r="294" spans="1:21" ht="24.75" customHeight="1">
      <c r="A294" s="33"/>
      <c r="C294" s="2" t="s">
        <v>96</v>
      </c>
      <c r="J294" s="2"/>
      <c r="K294" s="2"/>
      <c r="R294" s="3"/>
      <c r="S294" s="3"/>
      <c r="T294" s="3"/>
      <c r="U294" s="3"/>
    </row>
    <row r="295" spans="1:21" ht="24.75" customHeight="1">
      <c r="A295" s="33"/>
      <c r="J295" s="8"/>
      <c r="K295" s="2"/>
      <c r="R295" s="3"/>
      <c r="S295" s="3"/>
      <c r="T295" s="3"/>
      <c r="U295" s="3"/>
    </row>
    <row r="296" spans="1:21" ht="24.75" customHeight="1">
      <c r="A296" s="33"/>
      <c r="J296" s="2"/>
      <c r="K296" s="2"/>
      <c r="R296" s="3"/>
      <c r="S296" s="3"/>
      <c r="T296" s="3"/>
      <c r="U296" s="3"/>
    </row>
    <row r="297" s="89" customFormat="1" ht="24.75" customHeight="1">
      <c r="B297" s="90" t="s">
        <v>323</v>
      </c>
    </row>
    <row r="298" s="89" customFormat="1" ht="24.75" customHeight="1"/>
    <row r="299" s="89" customFormat="1" ht="24.75" customHeight="1">
      <c r="B299" s="89" t="s">
        <v>137</v>
      </c>
    </row>
    <row r="300" s="89" customFormat="1" ht="24.75" customHeight="1"/>
    <row r="301" spans="2:5" s="89" customFormat="1" ht="24.75" customHeight="1">
      <c r="B301" s="89" t="s">
        <v>138</v>
      </c>
      <c r="C301" s="91" t="s">
        <v>139</v>
      </c>
      <c r="D301" s="92" t="s">
        <v>140</v>
      </c>
      <c r="E301" s="91" t="s">
        <v>141</v>
      </c>
    </row>
    <row r="302" spans="2:5" s="89" customFormat="1" ht="24.75" customHeight="1">
      <c r="B302" s="89" t="s">
        <v>142</v>
      </c>
      <c r="C302" s="89">
        <v>11000</v>
      </c>
      <c r="D302" s="89">
        <v>1000</v>
      </c>
      <c r="E302" s="89">
        <f>C302-D302</f>
        <v>10000</v>
      </c>
    </row>
    <row r="303" spans="2:5" s="89" customFormat="1" ht="24.75" customHeight="1">
      <c r="B303" s="89" t="s">
        <v>143</v>
      </c>
      <c r="C303" s="89">
        <v>12000</v>
      </c>
      <c r="D303" s="89">
        <v>1000</v>
      </c>
      <c r="E303" s="89">
        <f>C303-D303</f>
        <v>11000</v>
      </c>
    </row>
    <row r="304" spans="2:5" s="89" customFormat="1" ht="24.75" customHeight="1">
      <c r="B304" s="89" t="s">
        <v>144</v>
      </c>
      <c r="C304" s="89">
        <v>18000</v>
      </c>
      <c r="D304" s="89">
        <v>1000</v>
      </c>
      <c r="E304" s="89">
        <f>C304-D304</f>
        <v>17000</v>
      </c>
    </row>
    <row r="305" spans="3:6" s="89" customFormat="1" ht="24.75" customHeight="1" thickBot="1">
      <c r="C305" s="93">
        <f>SUM(C302:C304)</f>
        <v>41000</v>
      </c>
      <c r="D305" s="93">
        <f>SUM(D302:D304)</f>
        <v>3000</v>
      </c>
      <c r="E305" s="93">
        <f>SUM(E302:E304)</f>
        <v>38000</v>
      </c>
      <c r="F305" s="94"/>
    </row>
    <row r="306" s="89" customFormat="1" ht="24.75" customHeight="1" thickTop="1"/>
    <row r="307" spans="3:5" s="89" customFormat="1" ht="24.75" customHeight="1">
      <c r="C307" s="89" t="s">
        <v>145</v>
      </c>
      <c r="D307" s="95" t="s">
        <v>146</v>
      </c>
      <c r="E307" s="91" t="s">
        <v>141</v>
      </c>
    </row>
    <row r="308" spans="2:5" s="89" customFormat="1" ht="24.75" customHeight="1">
      <c r="B308" s="89" t="s">
        <v>50</v>
      </c>
      <c r="C308" s="89">
        <v>19000</v>
      </c>
      <c r="D308" s="89">
        <v>3000</v>
      </c>
      <c r="E308" s="89">
        <f>C308-D308</f>
        <v>16000</v>
      </c>
    </row>
    <row r="309" spans="2:6" s="89" customFormat="1" ht="24.75" customHeight="1">
      <c r="B309" s="89" t="s">
        <v>147</v>
      </c>
      <c r="C309" s="89">
        <v>17000</v>
      </c>
      <c r="D309" s="96">
        <v>0</v>
      </c>
      <c r="E309" s="89">
        <f>C309-D309</f>
        <v>17000</v>
      </c>
      <c r="F309" s="97"/>
    </row>
    <row r="310" spans="2:12" s="89" customFormat="1" ht="24.75" customHeight="1">
      <c r="B310" s="89" t="s">
        <v>36</v>
      </c>
      <c r="C310" s="89">
        <v>13000</v>
      </c>
      <c r="D310" s="96">
        <v>0</v>
      </c>
      <c r="E310" s="89">
        <f>C310-D310</f>
        <v>13000</v>
      </c>
      <c r="F310" s="97"/>
      <c r="L310" s="89" t="s">
        <v>136</v>
      </c>
    </row>
    <row r="311" spans="3:6" s="89" customFormat="1" ht="24.75" customHeight="1" thickBot="1">
      <c r="C311" s="93">
        <f>SUM(C308:C310)</f>
        <v>49000</v>
      </c>
      <c r="D311" s="93">
        <f>SUM(D308:D310)</f>
        <v>3000</v>
      </c>
      <c r="E311" s="93">
        <f>SUM(E308:E310)</f>
        <v>46000</v>
      </c>
      <c r="F311" s="97"/>
    </row>
    <row r="312" s="89" customFormat="1" ht="24.75" customHeight="1" thickTop="1">
      <c r="F312" s="94"/>
    </row>
    <row r="313" spans="2:5" s="89" customFormat="1" ht="24.75" customHeight="1">
      <c r="B313" s="89" t="s">
        <v>148</v>
      </c>
      <c r="D313" s="89">
        <f>E311-E305</f>
        <v>8000</v>
      </c>
      <c r="E313" s="97" t="s">
        <v>149</v>
      </c>
    </row>
    <row r="314" spans="6:7" s="89" customFormat="1" ht="24.75" customHeight="1">
      <c r="F314" s="97"/>
      <c r="G314" s="94"/>
    </row>
    <row r="315" spans="2:6" s="89" customFormat="1" ht="24.75" customHeight="1">
      <c r="B315" s="89" t="s">
        <v>150</v>
      </c>
      <c r="F315" s="97"/>
    </row>
    <row r="316" s="89" customFormat="1" ht="24.75" customHeight="1"/>
    <row r="317" spans="3:6" s="89" customFormat="1" ht="24.75" customHeight="1">
      <c r="C317" s="146" t="s">
        <v>151</v>
      </c>
      <c r="D317" s="146"/>
      <c r="E317" s="146"/>
      <c r="F317" s="146"/>
    </row>
    <row r="318" spans="2:7" s="89" customFormat="1" ht="24.75" customHeight="1">
      <c r="B318" s="147"/>
      <c r="C318" s="98"/>
      <c r="D318" s="98"/>
      <c r="E318" s="98"/>
      <c r="F318" s="148" t="s">
        <v>152</v>
      </c>
      <c r="G318" s="98"/>
    </row>
    <row r="319" spans="2:7" s="89" customFormat="1" ht="24.75" customHeight="1">
      <c r="B319" s="147"/>
      <c r="C319" s="99" t="s">
        <v>153</v>
      </c>
      <c r="D319" s="99" t="s">
        <v>154</v>
      </c>
      <c r="E319" s="99" t="s">
        <v>155</v>
      </c>
      <c r="F319" s="149"/>
      <c r="G319" s="99" t="s">
        <v>145</v>
      </c>
    </row>
    <row r="320" spans="2:7" s="89" customFormat="1" ht="24.75" customHeight="1">
      <c r="B320" s="148" t="s">
        <v>50</v>
      </c>
      <c r="C320" s="98">
        <v>-180</v>
      </c>
      <c r="D320" s="98">
        <v>-180</v>
      </c>
      <c r="E320" s="98">
        <v>-170</v>
      </c>
      <c r="F320" s="100">
        <v>0</v>
      </c>
      <c r="G320" s="98">
        <v>16000</v>
      </c>
    </row>
    <row r="321" spans="2:7" s="89" customFormat="1" ht="24.75" customHeight="1">
      <c r="B321" s="149"/>
      <c r="C321" s="101"/>
      <c r="D321" s="101"/>
      <c r="E321" s="102">
        <v>16000</v>
      </c>
      <c r="G321" s="101"/>
    </row>
    <row r="322" spans="2:7" s="89" customFormat="1" ht="24.75" customHeight="1">
      <c r="B322" s="148" t="s">
        <v>66</v>
      </c>
      <c r="C322" s="98">
        <v>-220</v>
      </c>
      <c r="D322" s="98">
        <v>-190</v>
      </c>
      <c r="E322" s="98">
        <v>-160</v>
      </c>
      <c r="F322" s="98">
        <v>0</v>
      </c>
      <c r="G322" s="98">
        <v>17000</v>
      </c>
    </row>
    <row r="323" spans="2:7" s="89" customFormat="1" ht="24.75" customHeight="1">
      <c r="B323" s="149"/>
      <c r="C323" s="101"/>
      <c r="D323" s="103">
        <v>8000</v>
      </c>
      <c r="E323" s="103">
        <v>1000</v>
      </c>
      <c r="F323" s="103">
        <v>8000</v>
      </c>
      <c r="G323" s="101"/>
    </row>
    <row r="324" spans="2:7" s="89" customFormat="1" ht="24.75" customHeight="1">
      <c r="B324" s="148" t="s">
        <v>36</v>
      </c>
      <c r="C324" s="98">
        <v>-230</v>
      </c>
      <c r="D324" s="98">
        <v>-200</v>
      </c>
      <c r="E324" s="98">
        <v>-180</v>
      </c>
      <c r="F324" s="98">
        <v>0</v>
      </c>
      <c r="G324" s="104">
        <v>13000</v>
      </c>
    </row>
    <row r="325" spans="2:7" s="89" customFormat="1" ht="24.75" customHeight="1">
      <c r="B325" s="149"/>
      <c r="C325" s="103">
        <v>10000</v>
      </c>
      <c r="D325" s="103">
        <v>3000</v>
      </c>
      <c r="E325" s="101"/>
      <c r="F325" s="101"/>
      <c r="G325" s="105"/>
    </row>
    <row r="326" spans="2:7" s="89" customFormat="1" ht="24.75" customHeight="1">
      <c r="B326" s="148" t="s">
        <v>139</v>
      </c>
      <c r="C326" s="148">
        <v>10000</v>
      </c>
      <c r="D326" s="148">
        <v>11000</v>
      </c>
      <c r="E326" s="148">
        <v>17000</v>
      </c>
      <c r="F326" s="148">
        <v>8000</v>
      </c>
      <c r="G326" s="148">
        <f>C326+D326+E326+F326</f>
        <v>46000</v>
      </c>
    </row>
    <row r="327" spans="2:8" s="89" customFormat="1" ht="24.75" customHeight="1">
      <c r="B327" s="149"/>
      <c r="C327" s="149"/>
      <c r="D327" s="149"/>
      <c r="E327" s="149"/>
      <c r="F327" s="149"/>
      <c r="G327" s="149"/>
      <c r="H327" s="94"/>
    </row>
    <row r="328" s="89" customFormat="1" ht="24.75" customHeight="1"/>
    <row r="329" spans="2:6" s="89" customFormat="1" ht="24.75" customHeight="1">
      <c r="B329" s="89" t="s">
        <v>156</v>
      </c>
      <c r="E329" s="96">
        <f>(170*16000)+(8000*190)+(1000*160)+(10000*230)+(3000*200)</f>
        <v>7300000</v>
      </c>
      <c r="F329" s="94"/>
    </row>
    <row r="330" s="89" customFormat="1" ht="24.75" customHeight="1">
      <c r="B330" s="89" t="s">
        <v>157</v>
      </c>
    </row>
    <row r="331" spans="2:6" s="89" customFormat="1" ht="24.75" customHeight="1">
      <c r="B331" s="89" t="s">
        <v>158</v>
      </c>
      <c r="C331" s="89" t="s">
        <v>159</v>
      </c>
      <c r="F331" s="89">
        <f>+-180--230+-200--190+-160--170</f>
        <v>50</v>
      </c>
    </row>
    <row r="332" spans="2:6" s="89" customFormat="1" ht="24.75" customHeight="1">
      <c r="B332" s="89" t="s">
        <v>160</v>
      </c>
      <c r="C332" s="106" t="s">
        <v>161</v>
      </c>
      <c r="E332" s="89" t="s">
        <v>162</v>
      </c>
      <c r="F332" s="89">
        <f>+-180--190+-160--170</f>
        <v>20</v>
      </c>
    </row>
    <row r="333" spans="2:6" s="89" customFormat="1" ht="24.75" customHeight="1">
      <c r="B333" s="89" t="s">
        <v>163</v>
      </c>
      <c r="C333" s="89" t="s">
        <v>164</v>
      </c>
      <c r="E333" s="89" t="s">
        <v>162</v>
      </c>
      <c r="F333" s="89">
        <f>+-220--230+-200--190</f>
        <v>0</v>
      </c>
    </row>
    <row r="334" spans="2:7" s="89" customFormat="1" ht="24.75" customHeight="1">
      <c r="B334" s="89" t="s">
        <v>165</v>
      </c>
      <c r="C334" s="106" t="s">
        <v>166</v>
      </c>
      <c r="E334" s="89" t="s">
        <v>162</v>
      </c>
      <c r="F334" s="89">
        <f>+-180--200+-200--160</f>
        <v>-20</v>
      </c>
      <c r="G334" s="94"/>
    </row>
    <row r="335" s="89" customFormat="1" ht="24.75" customHeight="1">
      <c r="B335" s="89" t="s">
        <v>167</v>
      </c>
    </row>
    <row r="336" spans="2:5" s="89" customFormat="1" ht="24.75" customHeight="1">
      <c r="B336" s="89" t="s">
        <v>168</v>
      </c>
      <c r="C336" s="106"/>
      <c r="E336" s="89">
        <v>1000</v>
      </c>
    </row>
    <row r="337" s="89" customFormat="1" ht="24.75" customHeight="1">
      <c r="F337" s="94"/>
    </row>
    <row r="338" spans="3:5" s="89" customFormat="1" ht="24.75" customHeight="1">
      <c r="C338" s="106"/>
      <c r="E338" s="94"/>
    </row>
    <row r="339" spans="3:6" s="89" customFormat="1" ht="24.75" customHeight="1">
      <c r="C339" s="146" t="s">
        <v>151</v>
      </c>
      <c r="D339" s="146"/>
      <c r="E339" s="146"/>
      <c r="F339" s="146"/>
    </row>
    <row r="340" spans="2:7" s="89" customFormat="1" ht="24.75" customHeight="1">
      <c r="B340" s="147"/>
      <c r="C340" s="98"/>
      <c r="D340" s="98"/>
      <c r="E340" s="98"/>
      <c r="F340" s="148" t="s">
        <v>152</v>
      </c>
      <c r="G340" s="98"/>
    </row>
    <row r="341" spans="2:7" s="89" customFormat="1" ht="24.75" customHeight="1">
      <c r="B341" s="147"/>
      <c r="C341" s="99" t="s">
        <v>153</v>
      </c>
      <c r="D341" s="99" t="s">
        <v>154</v>
      </c>
      <c r="E341" s="99" t="s">
        <v>155</v>
      </c>
      <c r="F341" s="149"/>
      <c r="G341" s="107" t="s">
        <v>145</v>
      </c>
    </row>
    <row r="342" spans="2:7" s="89" customFormat="1" ht="24.75" customHeight="1">
      <c r="B342" s="148" t="s">
        <v>50</v>
      </c>
      <c r="C342" s="98">
        <v>-180</v>
      </c>
      <c r="D342" s="98">
        <v>-180</v>
      </c>
      <c r="E342" s="98">
        <v>-170</v>
      </c>
      <c r="F342" s="100">
        <v>0</v>
      </c>
      <c r="G342" s="108"/>
    </row>
    <row r="343" spans="2:7" s="89" customFormat="1" ht="24.75" customHeight="1">
      <c r="B343" s="149"/>
      <c r="C343" s="101"/>
      <c r="D343" s="101"/>
      <c r="E343" s="102">
        <v>16000</v>
      </c>
      <c r="G343" s="107">
        <v>16000</v>
      </c>
    </row>
    <row r="344" spans="2:7" s="89" customFormat="1" ht="24.75" customHeight="1">
      <c r="B344" s="148" t="s">
        <v>66</v>
      </c>
      <c r="C344" s="98">
        <v>-220</v>
      </c>
      <c r="D344" s="98">
        <v>-190</v>
      </c>
      <c r="E344" s="98">
        <v>-160</v>
      </c>
      <c r="F344" s="98">
        <v>0</v>
      </c>
      <c r="G344" s="108"/>
    </row>
    <row r="345" spans="2:7" s="89" customFormat="1" ht="24.75" customHeight="1">
      <c r="B345" s="149"/>
      <c r="C345" s="101"/>
      <c r="D345" s="103">
        <v>9000</v>
      </c>
      <c r="E345" s="103"/>
      <c r="F345" s="103">
        <v>8000</v>
      </c>
      <c r="G345" s="107">
        <v>17000</v>
      </c>
    </row>
    <row r="346" spans="2:7" s="89" customFormat="1" ht="24.75" customHeight="1">
      <c r="B346" s="148" t="s">
        <v>36</v>
      </c>
      <c r="C346" s="98">
        <v>-230</v>
      </c>
      <c r="D346" s="98">
        <v>-200</v>
      </c>
      <c r="E346" s="98">
        <v>-180</v>
      </c>
      <c r="F346" s="98">
        <v>0</v>
      </c>
      <c r="G346" s="108"/>
    </row>
    <row r="347" spans="2:7" s="89" customFormat="1" ht="24.75" customHeight="1">
      <c r="B347" s="149"/>
      <c r="C347" s="103">
        <v>10000</v>
      </c>
      <c r="D347" s="103">
        <v>2000</v>
      </c>
      <c r="E347" s="103">
        <v>1000</v>
      </c>
      <c r="F347" s="101"/>
      <c r="G347" s="107">
        <v>13000</v>
      </c>
    </row>
    <row r="348" spans="2:7" s="89" customFormat="1" ht="24.75" customHeight="1">
      <c r="B348" s="148" t="s">
        <v>139</v>
      </c>
      <c r="C348" s="148">
        <v>10000</v>
      </c>
      <c r="D348" s="148">
        <v>11000</v>
      </c>
      <c r="E348" s="148">
        <v>17000</v>
      </c>
      <c r="F348" s="148">
        <v>8000</v>
      </c>
      <c r="G348" s="150">
        <f>C348+D348+E348+F348</f>
        <v>46000</v>
      </c>
    </row>
    <row r="349" spans="2:7" s="89" customFormat="1" ht="24.75" customHeight="1">
      <c r="B349" s="149"/>
      <c r="C349" s="149"/>
      <c r="D349" s="149"/>
      <c r="E349" s="149"/>
      <c r="F349" s="149"/>
      <c r="G349" s="151"/>
    </row>
    <row r="350" spans="2:5" s="89" customFormat="1" ht="24.75" customHeight="1">
      <c r="B350" s="148" t="s">
        <v>145</v>
      </c>
      <c r="C350" s="148">
        <v>170000</v>
      </c>
      <c r="D350" s="148">
        <v>150000</v>
      </c>
      <c r="E350" s="148">
        <v>130000</v>
      </c>
    </row>
    <row r="351" spans="2:7" s="89" customFormat="1" ht="24.75" customHeight="1">
      <c r="B351" s="149"/>
      <c r="C351" s="149"/>
      <c r="D351" s="149"/>
      <c r="E351" s="149"/>
      <c r="G351" s="94"/>
    </row>
    <row r="352" s="89" customFormat="1" ht="24.75" customHeight="1"/>
    <row r="353" s="89" customFormat="1" ht="24.75" customHeight="1"/>
    <row r="354" spans="2:7" s="89" customFormat="1" ht="24.75" customHeight="1">
      <c r="B354" s="89" t="s">
        <v>169</v>
      </c>
      <c r="F354" s="96">
        <f>10000*230+9000*190+2000*200+16000*170+1000*180</f>
        <v>7310000</v>
      </c>
      <c r="G354" s="94"/>
    </row>
    <row r="355" spans="2:4" s="89" customFormat="1" ht="24.75" customHeight="1">
      <c r="B355" s="89" t="s">
        <v>170</v>
      </c>
      <c r="D355" s="106"/>
    </row>
    <row r="356" s="89" customFormat="1" ht="24.75" customHeight="1">
      <c r="D356" s="106"/>
    </row>
    <row r="357" spans="2:6" s="109" customFormat="1" ht="24.75" customHeight="1">
      <c r="B357" s="109" t="s">
        <v>158</v>
      </c>
      <c r="C357" s="109" t="s">
        <v>171</v>
      </c>
      <c r="D357" s="110"/>
      <c r="F357" s="109">
        <f>+-180--230+-180--170</f>
        <v>40</v>
      </c>
    </row>
    <row r="358" spans="2:6" s="109" customFormat="1" ht="24.75" customHeight="1">
      <c r="B358" s="111" t="s">
        <v>163</v>
      </c>
      <c r="C358" s="109" t="s">
        <v>164</v>
      </c>
      <c r="F358" s="109">
        <f>+-220--230+-200--190</f>
        <v>0</v>
      </c>
    </row>
    <row r="359" spans="2:6" s="109" customFormat="1" ht="24.75" customHeight="1">
      <c r="B359" s="111" t="s">
        <v>160</v>
      </c>
      <c r="C359" s="109" t="s">
        <v>172</v>
      </c>
      <c r="F359" s="109">
        <f>+-180--200+-180--170</f>
        <v>10</v>
      </c>
    </row>
    <row r="360" spans="2:6" s="109" customFormat="1" ht="24.75" customHeight="1">
      <c r="B360" s="111" t="s">
        <v>173</v>
      </c>
      <c r="C360" s="112" t="s">
        <v>174</v>
      </c>
      <c r="D360" s="113"/>
      <c r="F360" s="113">
        <f>+-160--190+-200--180</f>
        <v>10</v>
      </c>
    </row>
    <row r="361" spans="2:6" s="109" customFormat="1" ht="24.75" customHeight="1">
      <c r="B361" s="111" t="s">
        <v>175</v>
      </c>
      <c r="C361" s="112" t="s">
        <v>176</v>
      </c>
      <c r="D361" s="113"/>
      <c r="F361" s="113">
        <f>0--170+-180--200+-190+0</f>
        <v>0</v>
      </c>
    </row>
    <row r="362" spans="2:6" s="109" customFormat="1" ht="24.75" customHeight="1">
      <c r="B362" s="111" t="s">
        <v>177</v>
      </c>
      <c r="C362" s="112" t="s">
        <v>178</v>
      </c>
      <c r="D362" s="113"/>
      <c r="E362" s="113"/>
      <c r="F362" s="113">
        <f>0--200+-190-0</f>
        <v>10</v>
      </c>
    </row>
    <row r="363" s="109" customFormat="1" ht="24.75" customHeight="1">
      <c r="B363" s="114"/>
    </row>
    <row r="364" spans="2:6" s="109" customFormat="1" ht="24.75" customHeight="1">
      <c r="B364" s="115" t="s">
        <v>179</v>
      </c>
      <c r="C364" s="116"/>
      <c r="D364" s="116"/>
      <c r="E364" s="116"/>
      <c r="F364" s="116"/>
    </row>
    <row r="365" spans="2:6" s="109" customFormat="1" ht="24.75" customHeight="1">
      <c r="B365" s="113"/>
      <c r="F365" s="117"/>
    </row>
    <row r="366" spans="2:5" s="109" customFormat="1" ht="24.75" customHeight="1">
      <c r="B366" s="112" t="s">
        <v>180</v>
      </c>
      <c r="E366" s="118"/>
    </row>
    <row r="367" s="109" customFormat="1" ht="24.75" customHeight="1">
      <c r="B367" s="113"/>
    </row>
    <row r="368" spans="2:5" s="109" customFormat="1" ht="24.75" customHeight="1">
      <c r="B368" s="113"/>
      <c r="C368" s="116" t="s">
        <v>153</v>
      </c>
      <c r="D368" s="116" t="s">
        <v>154</v>
      </c>
      <c r="E368" s="116" t="s">
        <v>155</v>
      </c>
    </row>
    <row r="369" spans="2:6" s="109" customFormat="1" ht="24.75" customHeight="1">
      <c r="B369" s="113"/>
      <c r="F369" s="113"/>
    </row>
    <row r="370" spans="2:8" s="109" customFormat="1" ht="24.75" customHeight="1">
      <c r="B370" s="113" t="s">
        <v>50</v>
      </c>
      <c r="C370" s="119">
        <v>1000</v>
      </c>
      <c r="D370" s="119">
        <v>1000</v>
      </c>
      <c r="E370" s="119">
        <f>17000</f>
        <v>17000</v>
      </c>
      <c r="F370" s="113"/>
      <c r="H370" s="120"/>
    </row>
    <row r="371" spans="2:4" s="109" customFormat="1" ht="24.75" customHeight="1">
      <c r="B371" s="113" t="s">
        <v>66</v>
      </c>
      <c r="D371" s="111">
        <v>8000</v>
      </c>
    </row>
    <row r="372" spans="2:5" s="109" customFormat="1" ht="24.75" customHeight="1">
      <c r="B372" s="113" t="s">
        <v>36</v>
      </c>
      <c r="C372" s="118">
        <v>10000</v>
      </c>
      <c r="D372" s="109">
        <v>3000</v>
      </c>
      <c r="E372" s="109">
        <v>1000</v>
      </c>
    </row>
    <row r="373" spans="2:5" s="109" customFormat="1" ht="24.75" customHeight="1">
      <c r="B373" s="113"/>
      <c r="C373" s="113"/>
      <c r="D373" s="113"/>
      <c r="E373" s="113"/>
    </row>
    <row r="374" spans="2:4" s="109" customFormat="1" ht="24.75" customHeight="1">
      <c r="B374" s="112" t="s">
        <v>181</v>
      </c>
      <c r="D374" s="109">
        <f>C370*180+1000*180+17000*170+9000*190+10000*230+2000*200+1000*180</f>
        <v>7840000</v>
      </c>
    </row>
    <row r="375" s="109" customFormat="1" ht="24.75" customHeight="1">
      <c r="F375" s="117"/>
    </row>
    <row r="376" s="109" customFormat="1" ht="24.75" customHeight="1">
      <c r="F376" s="117"/>
    </row>
    <row r="377" spans="2:3" s="109" customFormat="1" ht="24.75" customHeight="1">
      <c r="B377" s="117" t="s">
        <v>182</v>
      </c>
      <c r="C377" s="110"/>
    </row>
    <row r="378" spans="2:3" s="109" customFormat="1" ht="24.75" customHeight="1">
      <c r="B378" s="109" t="s">
        <v>183</v>
      </c>
      <c r="C378" s="110"/>
    </row>
    <row r="379" s="109" customFormat="1" ht="24.75" customHeight="1">
      <c r="B379" s="121"/>
    </row>
    <row r="380" s="89" customFormat="1" ht="24.75" customHeight="1">
      <c r="B380" s="89" t="s">
        <v>137</v>
      </c>
    </row>
    <row r="381" s="89" customFormat="1" ht="24.75" customHeight="1"/>
    <row r="382" spans="2:5" s="89" customFormat="1" ht="24.75" customHeight="1">
      <c r="B382" s="89" t="s">
        <v>138</v>
      </c>
      <c r="C382" s="91" t="s">
        <v>139</v>
      </c>
      <c r="D382" s="92" t="s">
        <v>140</v>
      </c>
      <c r="E382" s="91" t="s">
        <v>141</v>
      </c>
    </row>
    <row r="383" spans="2:5" s="89" customFormat="1" ht="24.75" customHeight="1">
      <c r="B383" s="89" t="s">
        <v>142</v>
      </c>
      <c r="C383" s="89">
        <v>11000</v>
      </c>
      <c r="D383" s="89">
        <v>1000</v>
      </c>
      <c r="E383" s="89">
        <f>C383-D383</f>
        <v>10000</v>
      </c>
    </row>
    <row r="384" spans="2:5" s="89" customFormat="1" ht="24.75" customHeight="1">
      <c r="B384" s="89" t="s">
        <v>143</v>
      </c>
      <c r="C384" s="89">
        <v>12000</v>
      </c>
      <c r="D384" s="89">
        <v>1000</v>
      </c>
      <c r="E384" s="89">
        <f>C384-D384</f>
        <v>11000</v>
      </c>
    </row>
    <row r="385" spans="2:5" s="89" customFormat="1" ht="24.75" customHeight="1">
      <c r="B385" s="89" t="s">
        <v>144</v>
      </c>
      <c r="C385" s="89">
        <v>18000</v>
      </c>
      <c r="D385" s="89">
        <v>1000</v>
      </c>
      <c r="E385" s="89">
        <f>C385-D385</f>
        <v>17000</v>
      </c>
    </row>
    <row r="386" spans="3:6" s="89" customFormat="1" ht="24.75" customHeight="1" thickBot="1">
      <c r="C386" s="93">
        <f>SUM(C383:C385)</f>
        <v>41000</v>
      </c>
      <c r="D386" s="93">
        <f>SUM(D383:D385)</f>
        <v>3000</v>
      </c>
      <c r="E386" s="93">
        <f>SUM(E383:E385)</f>
        <v>38000</v>
      </c>
      <c r="F386" s="94"/>
    </row>
    <row r="387" s="89" customFormat="1" ht="24.75" customHeight="1" thickTop="1"/>
    <row r="388" s="89" customFormat="1" ht="24.75" customHeight="1"/>
    <row r="389" spans="3:5" s="89" customFormat="1" ht="24.75" customHeight="1">
      <c r="C389" s="89" t="s">
        <v>145</v>
      </c>
      <c r="D389" s="95" t="s">
        <v>146</v>
      </c>
      <c r="E389" s="91" t="s">
        <v>141</v>
      </c>
    </row>
    <row r="390" spans="2:5" s="89" customFormat="1" ht="24.75" customHeight="1">
      <c r="B390" s="89" t="s">
        <v>50</v>
      </c>
      <c r="C390" s="89">
        <v>19000</v>
      </c>
      <c r="D390" s="89">
        <v>3000</v>
      </c>
      <c r="E390" s="89">
        <f>C390-D390</f>
        <v>16000</v>
      </c>
    </row>
    <row r="391" spans="2:6" s="89" customFormat="1" ht="24.75" customHeight="1">
      <c r="B391" s="89" t="s">
        <v>147</v>
      </c>
      <c r="C391" s="89">
        <v>17000</v>
      </c>
      <c r="D391" s="96">
        <v>0</v>
      </c>
      <c r="E391" s="89">
        <f>C391-D391</f>
        <v>17000</v>
      </c>
      <c r="F391" s="97"/>
    </row>
    <row r="392" spans="2:6" s="89" customFormat="1" ht="24.75" customHeight="1">
      <c r="B392" s="89" t="s">
        <v>36</v>
      </c>
      <c r="C392" s="89">
        <v>13000</v>
      </c>
      <c r="D392" s="96">
        <v>0</v>
      </c>
      <c r="E392" s="89">
        <f>C392-D392</f>
        <v>13000</v>
      </c>
      <c r="F392" s="97"/>
    </row>
    <row r="393" spans="3:6" s="89" customFormat="1" ht="24.75" customHeight="1" thickBot="1">
      <c r="C393" s="93">
        <f>SUM(C390:C392)</f>
        <v>49000</v>
      </c>
      <c r="D393" s="93">
        <f>SUM(D390:D392)</f>
        <v>3000</v>
      </c>
      <c r="E393" s="93">
        <f>SUM(E390:E392)</f>
        <v>46000</v>
      </c>
      <c r="F393" s="97"/>
    </row>
    <row r="394" s="89" customFormat="1" ht="24.75" customHeight="1" thickTop="1">
      <c r="F394" s="94"/>
    </row>
    <row r="395" spans="2:8" s="89" customFormat="1" ht="24.75" customHeight="1">
      <c r="B395" s="89" t="s">
        <v>148</v>
      </c>
      <c r="D395" s="89">
        <f>E393-E386</f>
        <v>8000</v>
      </c>
      <c r="E395" s="97" t="s">
        <v>149</v>
      </c>
      <c r="H395" s="94"/>
    </row>
    <row r="396" spans="6:7" s="89" customFormat="1" ht="24.75" customHeight="1">
      <c r="F396" s="97"/>
      <c r="G396" s="94"/>
    </row>
    <row r="397" spans="2:7" s="109" customFormat="1" ht="24.75" customHeight="1">
      <c r="B397" s="89"/>
      <c r="C397" s="146" t="s">
        <v>151</v>
      </c>
      <c r="D397" s="146"/>
      <c r="E397" s="146"/>
      <c r="F397" s="146"/>
      <c r="G397" s="89"/>
    </row>
    <row r="398" spans="2:7" s="109" customFormat="1" ht="24.75" customHeight="1">
      <c r="B398" s="147"/>
      <c r="C398" s="98"/>
      <c r="D398" s="98"/>
      <c r="E398" s="98"/>
      <c r="F398" s="148" t="s">
        <v>152</v>
      </c>
      <c r="G398" s="98"/>
    </row>
    <row r="399" spans="2:7" s="109" customFormat="1" ht="24.75" customHeight="1">
      <c r="B399" s="147"/>
      <c r="C399" s="99" t="s">
        <v>153</v>
      </c>
      <c r="D399" s="99" t="s">
        <v>154</v>
      </c>
      <c r="E399" s="99" t="s">
        <v>155</v>
      </c>
      <c r="F399" s="149"/>
      <c r="G399" s="99" t="s">
        <v>145</v>
      </c>
    </row>
    <row r="400" spans="2:7" s="109" customFormat="1" ht="24.75" customHeight="1">
      <c r="B400" s="148" t="s">
        <v>50</v>
      </c>
      <c r="C400" s="98">
        <v>-180</v>
      </c>
      <c r="D400" s="98">
        <v>-180</v>
      </c>
      <c r="E400" s="98">
        <v>-170</v>
      </c>
      <c r="F400" s="100">
        <v>0</v>
      </c>
      <c r="G400" s="98"/>
    </row>
    <row r="401" spans="2:7" s="109" customFormat="1" ht="24.75" customHeight="1">
      <c r="B401" s="149"/>
      <c r="C401" s="103">
        <v>10000</v>
      </c>
      <c r="D401" s="103">
        <v>6000</v>
      </c>
      <c r="E401" s="102"/>
      <c r="F401" s="89"/>
      <c r="G401" s="101">
        <v>16000</v>
      </c>
    </row>
    <row r="402" spans="2:7" s="109" customFormat="1" ht="24.75" customHeight="1">
      <c r="B402" s="148" t="s">
        <v>66</v>
      </c>
      <c r="C402" s="98">
        <v>-220</v>
      </c>
      <c r="D402" s="98">
        <v>-190</v>
      </c>
      <c r="E402" s="98">
        <v>-160</v>
      </c>
      <c r="F402" s="98">
        <v>0</v>
      </c>
      <c r="G402" s="98"/>
    </row>
    <row r="403" spans="2:7" s="109" customFormat="1" ht="24.75" customHeight="1">
      <c r="B403" s="149"/>
      <c r="C403" s="101"/>
      <c r="D403" s="103">
        <v>5000</v>
      </c>
      <c r="E403" s="103">
        <v>12000</v>
      </c>
      <c r="F403" s="103"/>
      <c r="G403" s="101">
        <v>17000</v>
      </c>
    </row>
    <row r="404" spans="2:7" s="109" customFormat="1" ht="24.75" customHeight="1">
      <c r="B404" s="148" t="s">
        <v>36</v>
      </c>
      <c r="C404" s="98">
        <v>-230</v>
      </c>
      <c r="D404" s="98">
        <v>-200</v>
      </c>
      <c r="E404" s="98">
        <v>-180</v>
      </c>
      <c r="F404" s="98">
        <v>0</v>
      </c>
      <c r="G404" s="104"/>
    </row>
    <row r="405" spans="2:7" s="89" customFormat="1" ht="24.75" customHeight="1">
      <c r="B405" s="149"/>
      <c r="C405" s="103"/>
      <c r="D405" s="103"/>
      <c r="E405" s="103">
        <v>5000</v>
      </c>
      <c r="F405" s="101">
        <v>8000</v>
      </c>
      <c r="G405" s="105">
        <v>13000</v>
      </c>
    </row>
    <row r="406" spans="2:7" s="89" customFormat="1" ht="24.75" customHeight="1">
      <c r="B406" s="148" t="s">
        <v>139</v>
      </c>
      <c r="C406" s="148">
        <v>10000</v>
      </c>
      <c r="D406" s="148">
        <v>11000</v>
      </c>
      <c r="E406" s="148">
        <v>17000</v>
      </c>
      <c r="F406" s="148">
        <v>8000</v>
      </c>
      <c r="G406" s="150">
        <f>C406+D406+E406+F406</f>
        <v>46000</v>
      </c>
    </row>
    <row r="407" spans="2:7" s="89" customFormat="1" ht="24.75" customHeight="1">
      <c r="B407" s="149"/>
      <c r="C407" s="149"/>
      <c r="D407" s="149"/>
      <c r="E407" s="149"/>
      <c r="F407" s="149"/>
      <c r="G407" s="151"/>
    </row>
    <row r="408" spans="4:6" s="89" customFormat="1" ht="24.75" customHeight="1">
      <c r="D408" s="91"/>
      <c r="E408" s="91"/>
      <c r="F408" s="91"/>
    </row>
    <row r="409" spans="2:6" s="89" customFormat="1" ht="24.75" customHeight="1">
      <c r="B409" s="89" t="s">
        <v>184</v>
      </c>
      <c r="D409" s="122"/>
      <c r="E409" s="122">
        <f>10000*180+6000*180+5000*190+12000*160+5000*180</f>
        <v>6650000</v>
      </c>
      <c r="F409" s="122"/>
    </row>
    <row r="410" spans="4:6" s="89" customFormat="1" ht="24.75" customHeight="1">
      <c r="D410" s="122"/>
      <c r="E410" s="122"/>
      <c r="F410" s="122"/>
    </row>
    <row r="411" spans="2:6" s="89" customFormat="1" ht="24.75" customHeight="1">
      <c r="B411" s="89" t="s">
        <v>170</v>
      </c>
      <c r="D411" s="122"/>
      <c r="E411" s="122"/>
      <c r="F411" s="122"/>
    </row>
    <row r="412" spans="2:6" s="89" customFormat="1" ht="24.75" customHeight="1">
      <c r="B412" s="89" t="s">
        <v>185</v>
      </c>
      <c r="C412" s="89" t="s">
        <v>186</v>
      </c>
      <c r="F412" s="89">
        <f>+-220--180+-180--190</f>
        <v>-30</v>
      </c>
    </row>
    <row r="413" spans="2:6" s="89" customFormat="1" ht="24.75" customHeight="1">
      <c r="B413" s="89" t="s">
        <v>187</v>
      </c>
      <c r="C413" s="89" t="s">
        <v>188</v>
      </c>
      <c r="F413" s="89">
        <f>+-230--180+-160--190+-180--180</f>
        <v>-20</v>
      </c>
    </row>
    <row r="414" spans="2:6" s="89" customFormat="1" ht="24.75" customHeight="1">
      <c r="B414" s="89" t="s">
        <v>189</v>
      </c>
      <c r="C414" s="89" t="s">
        <v>190</v>
      </c>
      <c r="D414" s="123"/>
      <c r="E414" s="94"/>
      <c r="F414" s="89">
        <f>+-200--190+-160--180</f>
        <v>10</v>
      </c>
    </row>
    <row r="415" spans="2:6" s="89" customFormat="1" ht="24.75" customHeight="1">
      <c r="B415" s="89" t="s">
        <v>191</v>
      </c>
      <c r="C415" s="89" t="s">
        <v>192</v>
      </c>
      <c r="F415" s="89">
        <f>+-170--180+-190--160</f>
        <v>-20</v>
      </c>
    </row>
    <row r="416" spans="2:6" s="89" customFormat="1" ht="24.75" customHeight="1">
      <c r="B416" s="89" t="s">
        <v>175</v>
      </c>
      <c r="C416" s="89" t="s">
        <v>193</v>
      </c>
      <c r="F416" s="89">
        <f>0--180+-190--160+-180-0</f>
        <v>-30</v>
      </c>
    </row>
    <row r="417" spans="2:6" s="89" customFormat="1" ht="24.75" customHeight="1">
      <c r="B417" s="89" t="s">
        <v>194</v>
      </c>
      <c r="C417" s="89" t="s">
        <v>195</v>
      </c>
      <c r="F417" s="89">
        <f>0--160+-180-0</f>
        <v>-20</v>
      </c>
    </row>
    <row r="418" s="89" customFormat="1" ht="24.75" customHeight="1"/>
    <row r="419" spans="2:7" s="89" customFormat="1" ht="24.75" customHeight="1">
      <c r="B419" s="89" t="s">
        <v>196</v>
      </c>
      <c r="G419" s="94"/>
    </row>
    <row r="420" s="89" customFormat="1" ht="24.75" customHeight="1"/>
    <row r="421" spans="3:6" s="89" customFormat="1" ht="24.75" customHeight="1">
      <c r="C421" s="146" t="s">
        <v>151</v>
      </c>
      <c r="D421" s="146"/>
      <c r="E421" s="146"/>
      <c r="F421" s="146"/>
    </row>
    <row r="422" spans="2:7" s="89" customFormat="1" ht="24.75" customHeight="1">
      <c r="B422" s="147"/>
      <c r="C422" s="98"/>
      <c r="D422" s="98"/>
      <c r="E422" s="98"/>
      <c r="F422" s="148" t="s">
        <v>152</v>
      </c>
      <c r="G422" s="98"/>
    </row>
    <row r="423" spans="2:7" s="89" customFormat="1" ht="24.75" customHeight="1">
      <c r="B423" s="147"/>
      <c r="C423" s="99" t="s">
        <v>153</v>
      </c>
      <c r="D423" s="99" t="s">
        <v>154</v>
      </c>
      <c r="E423" s="99" t="s">
        <v>155</v>
      </c>
      <c r="F423" s="149"/>
      <c r="G423" s="99" t="s">
        <v>145</v>
      </c>
    </row>
    <row r="424" spans="2:7" s="89" customFormat="1" ht="24.75" customHeight="1">
      <c r="B424" s="148" t="s">
        <v>50</v>
      </c>
      <c r="C424" s="98">
        <v>-180</v>
      </c>
      <c r="D424" s="98">
        <v>-180</v>
      </c>
      <c r="E424" s="98">
        <v>-170</v>
      </c>
      <c r="F424" s="100">
        <v>0</v>
      </c>
      <c r="G424" s="98"/>
    </row>
    <row r="425" spans="2:7" s="89" customFormat="1" ht="24.75" customHeight="1">
      <c r="B425" s="149"/>
      <c r="C425" s="103">
        <v>5000</v>
      </c>
      <c r="D425" s="103">
        <v>11000</v>
      </c>
      <c r="E425" s="102"/>
      <c r="G425" s="101">
        <v>16000</v>
      </c>
    </row>
    <row r="426" spans="2:7" s="89" customFormat="1" ht="24.75" customHeight="1">
      <c r="B426" s="148" t="s">
        <v>66</v>
      </c>
      <c r="C426" s="98">
        <v>-220</v>
      </c>
      <c r="D426" s="98">
        <v>-190</v>
      </c>
      <c r="E426" s="98">
        <v>-160</v>
      </c>
      <c r="F426" s="98">
        <v>0</v>
      </c>
      <c r="G426" s="98"/>
    </row>
    <row r="427" spans="2:7" s="89" customFormat="1" ht="24.75" customHeight="1">
      <c r="B427" s="149"/>
      <c r="C427" s="103">
        <v>5000</v>
      </c>
      <c r="D427" s="103"/>
      <c r="E427" s="103">
        <v>12000</v>
      </c>
      <c r="F427" s="103"/>
      <c r="G427" s="101">
        <v>17000</v>
      </c>
    </row>
    <row r="428" spans="2:7" s="89" customFormat="1" ht="24.75" customHeight="1">
      <c r="B428" s="148" t="s">
        <v>36</v>
      </c>
      <c r="C428" s="98">
        <v>-230</v>
      </c>
      <c r="D428" s="98">
        <v>-200</v>
      </c>
      <c r="E428" s="98">
        <v>-180</v>
      </c>
      <c r="F428" s="98">
        <v>0</v>
      </c>
      <c r="G428" s="104"/>
    </row>
    <row r="429" spans="2:7" s="89" customFormat="1" ht="24.75" customHeight="1">
      <c r="B429" s="149"/>
      <c r="C429" s="103"/>
      <c r="D429" s="103"/>
      <c r="E429" s="103">
        <v>5000</v>
      </c>
      <c r="F429" s="101">
        <v>8000</v>
      </c>
      <c r="G429" s="105">
        <v>13000</v>
      </c>
    </row>
    <row r="430" spans="2:7" s="89" customFormat="1" ht="24.75" customHeight="1">
      <c r="B430" s="148" t="s">
        <v>139</v>
      </c>
      <c r="C430" s="148">
        <v>10000</v>
      </c>
      <c r="D430" s="148">
        <v>11000</v>
      </c>
      <c r="E430" s="148">
        <v>17000</v>
      </c>
      <c r="F430" s="148">
        <v>8000</v>
      </c>
      <c r="G430" s="148">
        <f>C430+D430+E430+F430</f>
        <v>46000</v>
      </c>
    </row>
    <row r="431" spans="2:7" s="89" customFormat="1" ht="24.75" customHeight="1">
      <c r="B431" s="149"/>
      <c r="C431" s="149"/>
      <c r="D431" s="149"/>
      <c r="E431" s="149"/>
      <c r="F431" s="149"/>
      <c r="G431" s="149"/>
    </row>
    <row r="432" spans="2:4" s="89" customFormat="1" ht="24.75" customHeight="1">
      <c r="B432" s="89" t="s">
        <v>197</v>
      </c>
      <c r="D432" s="89">
        <f>5000*180+11000*180+5000*220+12000*160+5000*180</f>
        <v>6800000</v>
      </c>
    </row>
    <row r="433" s="89" customFormat="1" ht="24.75" customHeight="1">
      <c r="B433" s="89" t="s">
        <v>170</v>
      </c>
    </row>
    <row r="434" s="89" customFormat="1" ht="24.75" customHeight="1"/>
    <row r="435" spans="2:6" s="89" customFormat="1" ht="24.75" customHeight="1">
      <c r="B435" s="89" t="s">
        <v>191</v>
      </c>
      <c r="C435" s="89" t="s">
        <v>198</v>
      </c>
      <c r="F435" s="89">
        <f>+-170--180+-220--160</f>
        <v>-50</v>
      </c>
    </row>
    <row r="436" spans="2:6" s="89" customFormat="1" ht="24.75" customHeight="1">
      <c r="B436" s="89" t="s">
        <v>199</v>
      </c>
      <c r="C436" s="89" t="s">
        <v>200</v>
      </c>
      <c r="F436" s="89">
        <f>+-190--180+-180--220</f>
        <v>30</v>
      </c>
    </row>
    <row r="437" spans="2:6" s="89" customFormat="1" ht="24.75" customHeight="1">
      <c r="B437" s="89" t="s">
        <v>187</v>
      </c>
      <c r="C437" s="89" t="s">
        <v>201</v>
      </c>
      <c r="F437" s="89">
        <f>230-180+160-220</f>
        <v>-10</v>
      </c>
    </row>
    <row r="438" spans="2:6" s="89" customFormat="1" ht="24.75" customHeight="1">
      <c r="B438" s="89" t="s">
        <v>189</v>
      </c>
      <c r="C438" s="89" t="s">
        <v>202</v>
      </c>
      <c r="F438" s="89">
        <f>+-200--180+-160--220+-180--180</f>
        <v>40</v>
      </c>
    </row>
    <row r="439" spans="2:6" s="89" customFormat="1" ht="24.75" customHeight="1">
      <c r="B439" s="89" t="s">
        <v>175</v>
      </c>
      <c r="C439" s="89" t="s">
        <v>203</v>
      </c>
      <c r="F439" s="106">
        <f>0--180+-220--160+-180-0</f>
        <v>-60</v>
      </c>
    </row>
    <row r="440" spans="2:6" s="89" customFormat="1" ht="24.75" customHeight="1">
      <c r="B440" s="89" t="s">
        <v>194</v>
      </c>
      <c r="C440" s="89" t="s">
        <v>204</v>
      </c>
      <c r="F440" s="89">
        <f>0--160+-180-0</f>
        <v>-20</v>
      </c>
    </row>
    <row r="441" s="89" customFormat="1" ht="24.75" customHeight="1"/>
    <row r="442" spans="2:7" s="89" customFormat="1" ht="24.75" customHeight="1">
      <c r="B442" s="89" t="s">
        <v>205</v>
      </c>
      <c r="G442" s="94"/>
    </row>
    <row r="443" s="89" customFormat="1" ht="24.75" customHeight="1"/>
    <row r="444" spans="3:6" s="89" customFormat="1" ht="24.75" customHeight="1">
      <c r="C444" s="146" t="s">
        <v>151</v>
      </c>
      <c r="D444" s="146"/>
      <c r="E444" s="146"/>
      <c r="F444" s="146"/>
    </row>
    <row r="445" spans="2:7" s="89" customFormat="1" ht="24.75" customHeight="1">
      <c r="B445" s="147"/>
      <c r="C445" s="98"/>
      <c r="D445" s="98"/>
      <c r="E445" s="98"/>
      <c r="F445" s="148" t="s">
        <v>152</v>
      </c>
      <c r="G445" s="98"/>
    </row>
    <row r="446" spans="2:7" s="89" customFormat="1" ht="24.75" customHeight="1">
      <c r="B446" s="147"/>
      <c r="C446" s="99" t="s">
        <v>153</v>
      </c>
      <c r="D446" s="99" t="s">
        <v>154</v>
      </c>
      <c r="E446" s="99" t="s">
        <v>155</v>
      </c>
      <c r="F446" s="149"/>
      <c r="G446" s="99" t="s">
        <v>145</v>
      </c>
    </row>
    <row r="447" spans="2:7" s="89" customFormat="1" ht="24.75" customHeight="1">
      <c r="B447" s="148" t="s">
        <v>50</v>
      </c>
      <c r="C447" s="98">
        <v>-180</v>
      </c>
      <c r="D447" s="98">
        <v>-180</v>
      </c>
      <c r="E447" s="98">
        <v>-170</v>
      </c>
      <c r="F447" s="100">
        <v>0</v>
      </c>
      <c r="G447" s="98"/>
    </row>
    <row r="448" spans="2:7" s="89" customFormat="1" ht="24.75" customHeight="1">
      <c r="B448" s="149"/>
      <c r="C448" s="103"/>
      <c r="D448" s="103">
        <v>11000</v>
      </c>
      <c r="E448" s="102"/>
      <c r="F448" s="89">
        <v>5000</v>
      </c>
      <c r="G448" s="101">
        <v>16000</v>
      </c>
    </row>
    <row r="449" spans="2:7" s="89" customFormat="1" ht="24.75" customHeight="1">
      <c r="B449" s="148" t="s">
        <v>66</v>
      </c>
      <c r="C449" s="98">
        <v>-220</v>
      </c>
      <c r="D449" s="98">
        <v>-190</v>
      </c>
      <c r="E449" s="98">
        <v>-160</v>
      </c>
      <c r="F449" s="98">
        <v>0</v>
      </c>
      <c r="G449" s="98"/>
    </row>
    <row r="450" spans="2:7" s="89" customFormat="1" ht="24.75" customHeight="1">
      <c r="B450" s="149"/>
      <c r="C450" s="103">
        <v>10000</v>
      </c>
      <c r="D450" s="103"/>
      <c r="E450" s="103">
        <v>7000</v>
      </c>
      <c r="F450" s="103"/>
      <c r="G450" s="101">
        <v>17000</v>
      </c>
    </row>
    <row r="451" spans="2:7" s="89" customFormat="1" ht="24.75" customHeight="1">
      <c r="B451" s="148" t="s">
        <v>36</v>
      </c>
      <c r="C451" s="98">
        <v>-230</v>
      </c>
      <c r="D451" s="98">
        <v>-200</v>
      </c>
      <c r="E451" s="98">
        <v>-180</v>
      </c>
      <c r="F451" s="98">
        <v>0</v>
      </c>
      <c r="G451" s="104"/>
    </row>
    <row r="452" spans="2:7" s="89" customFormat="1" ht="24.75" customHeight="1">
      <c r="B452" s="149"/>
      <c r="C452" s="103"/>
      <c r="D452" s="103"/>
      <c r="E452" s="103">
        <v>10000</v>
      </c>
      <c r="F452" s="101">
        <v>3000</v>
      </c>
      <c r="G452" s="105">
        <v>13000</v>
      </c>
    </row>
    <row r="453" spans="2:7" s="89" customFormat="1" ht="24.75" customHeight="1">
      <c r="B453" s="148" t="s">
        <v>139</v>
      </c>
      <c r="C453" s="148">
        <v>10000</v>
      </c>
      <c r="D453" s="148">
        <v>11000</v>
      </c>
      <c r="E453" s="148">
        <v>17000</v>
      </c>
      <c r="F453" s="148">
        <v>8000</v>
      </c>
      <c r="G453" s="148">
        <f>C453+D453+E453+F453</f>
        <v>46000</v>
      </c>
    </row>
    <row r="454" spans="2:7" s="89" customFormat="1" ht="24.75" customHeight="1">
      <c r="B454" s="149"/>
      <c r="C454" s="149"/>
      <c r="D454" s="149"/>
      <c r="E454" s="149"/>
      <c r="F454" s="149"/>
      <c r="G454" s="149"/>
    </row>
    <row r="455" s="89" customFormat="1" ht="24.75" customHeight="1"/>
    <row r="456" spans="2:4" s="89" customFormat="1" ht="24.75" customHeight="1">
      <c r="B456" s="89" t="s">
        <v>197</v>
      </c>
      <c r="D456" s="89">
        <f>11000*180+5000*0+7000*160+10000*180+10000*220</f>
        <v>7100000</v>
      </c>
    </row>
    <row r="457" s="89" customFormat="1" ht="24.75" customHeight="1"/>
    <row r="458" s="89" customFormat="1" ht="24.75" customHeight="1">
      <c r="B458" s="89" t="s">
        <v>170</v>
      </c>
    </row>
    <row r="459" spans="2:6" s="89" customFormat="1" ht="24.75" customHeight="1">
      <c r="B459" s="89" t="s">
        <v>199</v>
      </c>
      <c r="C459" s="89" t="s">
        <v>206</v>
      </c>
      <c r="F459" s="89">
        <f>+-190--180+0-0+-180--160</f>
        <v>-30</v>
      </c>
    </row>
    <row r="460" spans="2:6" s="89" customFormat="1" ht="24.75" customHeight="1">
      <c r="B460" s="89" t="s">
        <v>207</v>
      </c>
      <c r="C460" s="89" t="s">
        <v>208</v>
      </c>
      <c r="F460" s="89">
        <f>+-180--220+-160--180+0-0</f>
        <v>60</v>
      </c>
    </row>
    <row r="461" spans="2:6" s="89" customFormat="1" ht="24.75" customHeight="1">
      <c r="B461" s="89" t="s">
        <v>191</v>
      </c>
      <c r="C461" s="89" t="s">
        <v>209</v>
      </c>
      <c r="F461" s="89">
        <f>0--170+-180-0</f>
        <v>-10</v>
      </c>
    </row>
    <row r="462" spans="2:6" s="89" customFormat="1" ht="24.75" customHeight="1">
      <c r="B462" s="89" t="s">
        <v>194</v>
      </c>
      <c r="C462" s="89" t="s">
        <v>195</v>
      </c>
      <c r="F462" s="89">
        <f>0--160+-180-0</f>
        <v>-20</v>
      </c>
    </row>
    <row r="463" spans="2:6" s="89" customFormat="1" ht="24.75" customHeight="1">
      <c r="B463" s="89" t="s">
        <v>187</v>
      </c>
      <c r="C463" s="89" t="s">
        <v>210</v>
      </c>
      <c r="F463" s="89">
        <f>+-230--220+-160--180</f>
        <v>10</v>
      </c>
    </row>
    <row r="464" spans="2:6" s="89" customFormat="1" ht="24.75" customHeight="1">
      <c r="B464" s="89" t="s">
        <v>189</v>
      </c>
      <c r="C464" s="89" t="s">
        <v>211</v>
      </c>
      <c r="F464" s="89">
        <f>+-200--180+-170--180</f>
        <v>-10</v>
      </c>
    </row>
    <row r="465" s="89" customFormat="1" ht="24.75" customHeight="1"/>
    <row r="466" spans="2:8" s="89" customFormat="1" ht="24.75" customHeight="1">
      <c r="B466" s="89" t="s">
        <v>212</v>
      </c>
      <c r="H466" s="94"/>
    </row>
    <row r="467" spans="3:6" s="89" customFormat="1" ht="24.75" customHeight="1">
      <c r="C467" s="146" t="s">
        <v>151</v>
      </c>
      <c r="D467" s="146"/>
      <c r="E467" s="146"/>
      <c r="F467" s="146"/>
    </row>
    <row r="468" spans="2:7" s="89" customFormat="1" ht="24.75" customHeight="1">
      <c r="B468" s="147"/>
      <c r="C468" s="98"/>
      <c r="D468" s="98"/>
      <c r="E468" s="98"/>
      <c r="F468" s="148" t="s">
        <v>152</v>
      </c>
      <c r="G468" s="98"/>
    </row>
    <row r="469" spans="2:7" s="89" customFormat="1" ht="24.75" customHeight="1">
      <c r="B469" s="147"/>
      <c r="C469" s="99" t="s">
        <v>153</v>
      </c>
      <c r="D469" s="99" t="s">
        <v>154</v>
      </c>
      <c r="E469" s="99" t="s">
        <v>155</v>
      </c>
      <c r="F469" s="149"/>
      <c r="G469" s="99" t="s">
        <v>145</v>
      </c>
    </row>
    <row r="470" spans="2:7" s="89" customFormat="1" ht="24.75" customHeight="1">
      <c r="B470" s="148" t="s">
        <v>50</v>
      </c>
      <c r="C470" s="98">
        <v>-180</v>
      </c>
      <c r="D470" s="98">
        <v>-180</v>
      </c>
      <c r="E470" s="98">
        <v>-170</v>
      </c>
      <c r="F470" s="100">
        <v>0</v>
      </c>
      <c r="G470" s="98"/>
    </row>
    <row r="471" spans="2:7" s="89" customFormat="1" ht="24.75" customHeight="1">
      <c r="B471" s="149"/>
      <c r="C471" s="103"/>
      <c r="D471" s="103">
        <v>8000</v>
      </c>
      <c r="E471" s="102"/>
      <c r="F471" s="124">
        <v>8000</v>
      </c>
      <c r="G471" s="101">
        <v>16000</v>
      </c>
    </row>
    <row r="472" spans="2:7" s="89" customFormat="1" ht="24.75" customHeight="1">
      <c r="B472" s="148" t="s">
        <v>66</v>
      </c>
      <c r="C472" s="98">
        <v>-220</v>
      </c>
      <c r="D472" s="98">
        <v>-190</v>
      </c>
      <c r="E472" s="98">
        <v>-160</v>
      </c>
      <c r="F472" s="98">
        <v>0</v>
      </c>
      <c r="G472" s="98"/>
    </row>
    <row r="473" spans="2:7" s="89" customFormat="1" ht="24.75" customHeight="1">
      <c r="B473" s="149"/>
      <c r="C473" s="103">
        <v>10000</v>
      </c>
      <c r="D473" s="103">
        <v>3000</v>
      </c>
      <c r="E473" s="103">
        <v>4000</v>
      </c>
      <c r="F473" s="103"/>
      <c r="G473" s="101">
        <v>17000</v>
      </c>
    </row>
    <row r="474" spans="2:7" s="89" customFormat="1" ht="24.75" customHeight="1">
      <c r="B474" s="148" t="s">
        <v>36</v>
      </c>
      <c r="C474" s="98">
        <v>-230</v>
      </c>
      <c r="D474" s="98">
        <v>-200</v>
      </c>
      <c r="E474" s="98">
        <v>-180</v>
      </c>
      <c r="F474" s="98">
        <v>0</v>
      </c>
      <c r="G474" s="104"/>
    </row>
    <row r="475" spans="2:7" s="89" customFormat="1" ht="24.75" customHeight="1">
      <c r="B475" s="149"/>
      <c r="C475" s="103"/>
      <c r="D475" s="103"/>
      <c r="E475" s="103">
        <v>13000</v>
      </c>
      <c r="F475" s="101"/>
      <c r="G475" s="105">
        <v>13000</v>
      </c>
    </row>
    <row r="476" spans="2:7" s="89" customFormat="1" ht="24.75" customHeight="1">
      <c r="B476" s="148" t="s">
        <v>139</v>
      </c>
      <c r="C476" s="148">
        <v>10000</v>
      </c>
      <c r="D476" s="148">
        <v>11000</v>
      </c>
      <c r="E476" s="148">
        <v>17000</v>
      </c>
      <c r="F476" s="148">
        <v>8000</v>
      </c>
      <c r="G476" s="148">
        <f>C476+D476+E476+F476</f>
        <v>46000</v>
      </c>
    </row>
    <row r="477" spans="2:7" s="89" customFormat="1" ht="24.75" customHeight="1">
      <c r="B477" s="149"/>
      <c r="C477" s="149"/>
      <c r="D477" s="149"/>
      <c r="E477" s="149"/>
      <c r="F477" s="149"/>
      <c r="G477" s="149"/>
    </row>
    <row r="478" s="89" customFormat="1" ht="24.75" customHeight="1"/>
    <row r="479" spans="2:4" s="89" customFormat="1" ht="24.75" customHeight="1">
      <c r="B479" s="89" t="s">
        <v>197</v>
      </c>
      <c r="D479" s="89">
        <f>8000*180+8000*0+10000*220+3000*190+4000*160+13000*180</f>
        <v>7190000</v>
      </c>
    </row>
    <row r="480" s="89" customFormat="1" ht="24.75" customHeight="1"/>
    <row r="481" s="89" customFormat="1" ht="24.75" customHeight="1">
      <c r="B481" s="89" t="s">
        <v>170</v>
      </c>
    </row>
    <row r="482" spans="2:6" s="89" customFormat="1" ht="24.75" customHeight="1">
      <c r="B482" s="89" t="s">
        <v>207</v>
      </c>
      <c r="C482" s="89" t="s">
        <v>213</v>
      </c>
      <c r="F482" s="89">
        <f>+-180--220+-190--180</f>
        <v>30</v>
      </c>
    </row>
    <row r="483" spans="2:6" s="89" customFormat="1" ht="24.75" customHeight="1">
      <c r="B483" s="89" t="s">
        <v>187</v>
      </c>
      <c r="C483" s="89" t="s">
        <v>210</v>
      </c>
      <c r="F483" s="89">
        <f>+-230--220+-160--180</f>
        <v>10</v>
      </c>
    </row>
    <row r="484" spans="2:6" s="89" customFormat="1" ht="24.75" customHeight="1">
      <c r="B484" s="89" t="s">
        <v>189</v>
      </c>
      <c r="C484" s="89" t="s">
        <v>190</v>
      </c>
      <c r="F484" s="89">
        <f>+-200--190+-160--180</f>
        <v>10</v>
      </c>
    </row>
    <row r="485" spans="2:6" s="89" customFormat="1" ht="24.75" customHeight="1">
      <c r="B485" s="89" t="s">
        <v>191</v>
      </c>
      <c r="C485" s="89" t="s">
        <v>192</v>
      </c>
      <c r="F485" s="89">
        <f>+-170--180+-190--160</f>
        <v>-20</v>
      </c>
    </row>
    <row r="486" spans="2:6" s="89" customFormat="1" ht="24.75" customHeight="1">
      <c r="B486" s="89" t="s">
        <v>194</v>
      </c>
      <c r="C486" s="89" t="s">
        <v>214</v>
      </c>
      <c r="F486" s="89">
        <f>0--190+-180-0</f>
        <v>10</v>
      </c>
    </row>
    <row r="487" spans="2:6" s="89" customFormat="1" ht="24.75" customHeight="1">
      <c r="B487" s="89" t="s">
        <v>177</v>
      </c>
      <c r="C487" s="89" t="s">
        <v>215</v>
      </c>
      <c r="F487" s="89">
        <f>0--180+-160--190+-180-0</f>
        <v>30</v>
      </c>
    </row>
    <row r="488" s="89" customFormat="1" ht="24.75" customHeight="1"/>
    <row r="489" spans="2:8" s="89" customFormat="1" ht="24.75" customHeight="1">
      <c r="B489" s="89" t="s">
        <v>216</v>
      </c>
      <c r="H489" s="94"/>
    </row>
    <row r="490" s="89" customFormat="1" ht="24.75" customHeight="1"/>
    <row r="491" spans="3:6" s="89" customFormat="1" ht="24.75" customHeight="1">
      <c r="C491" s="146" t="s">
        <v>151</v>
      </c>
      <c r="D491" s="146"/>
      <c r="E491" s="146"/>
      <c r="F491" s="146"/>
    </row>
    <row r="492" spans="2:7" s="89" customFormat="1" ht="24.75" customHeight="1">
      <c r="B492" s="147"/>
      <c r="C492" s="98"/>
      <c r="D492" s="98"/>
      <c r="E492" s="98"/>
      <c r="F492" s="148" t="s">
        <v>152</v>
      </c>
      <c r="G492" s="98"/>
    </row>
    <row r="493" spans="2:7" s="89" customFormat="1" ht="24.75" customHeight="1">
      <c r="B493" s="147"/>
      <c r="C493" s="99" t="s">
        <v>153</v>
      </c>
      <c r="D493" s="99" t="s">
        <v>154</v>
      </c>
      <c r="E493" s="99" t="s">
        <v>155</v>
      </c>
      <c r="F493" s="149"/>
      <c r="G493" s="99" t="s">
        <v>145</v>
      </c>
    </row>
    <row r="494" spans="2:7" s="89" customFormat="1" ht="24.75" customHeight="1">
      <c r="B494" s="148" t="s">
        <v>50</v>
      </c>
      <c r="C494" s="98">
        <v>-180</v>
      </c>
      <c r="D494" s="98">
        <v>-180</v>
      </c>
      <c r="E494" s="98">
        <v>-170</v>
      </c>
      <c r="F494" s="100">
        <v>0</v>
      </c>
      <c r="G494" s="98"/>
    </row>
    <row r="495" spans="2:7" s="89" customFormat="1" ht="24.75" customHeight="1">
      <c r="B495" s="149"/>
      <c r="C495" s="103"/>
      <c r="D495" s="103">
        <v>4000</v>
      </c>
      <c r="E495" s="102">
        <v>4000</v>
      </c>
      <c r="F495" s="124">
        <v>8000</v>
      </c>
      <c r="G495" s="101">
        <v>16000</v>
      </c>
    </row>
    <row r="496" spans="2:7" s="89" customFormat="1" ht="24.75" customHeight="1">
      <c r="B496" s="148" t="s">
        <v>66</v>
      </c>
      <c r="C496" s="98">
        <v>-220</v>
      </c>
      <c r="D496" s="98">
        <v>-190</v>
      </c>
      <c r="E496" s="98">
        <v>-160</v>
      </c>
      <c r="F496" s="98">
        <v>0</v>
      </c>
      <c r="G496" s="98"/>
    </row>
    <row r="497" spans="2:7" s="89" customFormat="1" ht="24.75" customHeight="1">
      <c r="B497" s="149"/>
      <c r="C497" s="103">
        <v>10000</v>
      </c>
      <c r="D497" s="103">
        <v>7000</v>
      </c>
      <c r="E497" s="103"/>
      <c r="F497" s="103"/>
      <c r="G497" s="101">
        <v>17000</v>
      </c>
    </row>
    <row r="498" spans="2:7" s="89" customFormat="1" ht="24.75" customHeight="1">
      <c r="B498" s="148" t="s">
        <v>36</v>
      </c>
      <c r="C498" s="98">
        <v>-230</v>
      </c>
      <c r="D498" s="98">
        <v>-200</v>
      </c>
      <c r="E498" s="98">
        <v>-180</v>
      </c>
      <c r="F498" s="98">
        <v>0</v>
      </c>
      <c r="G498" s="104"/>
    </row>
    <row r="499" spans="2:7" s="89" customFormat="1" ht="24.75" customHeight="1">
      <c r="B499" s="149"/>
      <c r="C499" s="103"/>
      <c r="D499" s="103"/>
      <c r="E499" s="103">
        <v>13000</v>
      </c>
      <c r="F499" s="101"/>
      <c r="G499" s="105">
        <v>13000</v>
      </c>
    </row>
    <row r="500" spans="2:7" s="89" customFormat="1" ht="24.75" customHeight="1">
      <c r="B500" s="148" t="s">
        <v>139</v>
      </c>
      <c r="C500" s="148">
        <v>10000</v>
      </c>
      <c r="D500" s="148">
        <v>11000</v>
      </c>
      <c r="E500" s="148">
        <v>17000</v>
      </c>
      <c r="F500" s="148">
        <v>8000</v>
      </c>
      <c r="G500" s="148">
        <f>C500+D500+E500+F500</f>
        <v>46000</v>
      </c>
    </row>
    <row r="501" spans="2:7" s="89" customFormat="1" ht="24.75" customHeight="1">
      <c r="B501" s="149"/>
      <c r="C501" s="149"/>
      <c r="D501" s="149"/>
      <c r="E501" s="149"/>
      <c r="F501" s="149"/>
      <c r="G501" s="149"/>
    </row>
    <row r="502" s="89" customFormat="1" ht="24.75" customHeight="1"/>
    <row r="503" spans="2:5" s="89" customFormat="1" ht="24.75" customHeight="1">
      <c r="B503" s="89" t="s">
        <v>197</v>
      </c>
      <c r="E503" s="89">
        <f>4000*180+4000*170+10000*220+7000*190+13000*180+8000*0</f>
        <v>7270000</v>
      </c>
    </row>
    <row r="504" s="89" customFormat="1" ht="24.75" customHeight="1"/>
    <row r="505" s="89" customFormat="1" ht="24.75" customHeight="1">
      <c r="B505" s="89" t="s">
        <v>170</v>
      </c>
    </row>
    <row r="506" spans="2:6" s="89" customFormat="1" ht="24.75" customHeight="1">
      <c r="B506" s="89" t="s">
        <v>207</v>
      </c>
      <c r="C506" s="89" t="s">
        <v>213</v>
      </c>
      <c r="F506" s="89">
        <f>+-180--220+-190--180</f>
        <v>30</v>
      </c>
    </row>
    <row r="507" spans="2:6" s="89" customFormat="1" ht="24.75" customHeight="1">
      <c r="B507" s="89" t="s">
        <v>217</v>
      </c>
      <c r="C507" s="89" t="s">
        <v>218</v>
      </c>
      <c r="F507" s="89">
        <f>+-160--190+-180--170</f>
        <v>20</v>
      </c>
    </row>
    <row r="508" spans="2:6" s="89" customFormat="1" ht="24.75" customHeight="1">
      <c r="B508" s="89" t="s">
        <v>194</v>
      </c>
      <c r="C508" s="89" t="s">
        <v>214</v>
      </c>
      <c r="F508" s="89">
        <f>0--190+-180-0</f>
        <v>10</v>
      </c>
    </row>
    <row r="509" spans="2:6" s="89" customFormat="1" ht="24.75" customHeight="1">
      <c r="B509" s="89" t="s">
        <v>187</v>
      </c>
      <c r="C509" s="89" t="s">
        <v>219</v>
      </c>
      <c r="F509" s="89">
        <f>+-230--220+-190--180+-170--180</f>
        <v>-10</v>
      </c>
    </row>
    <row r="510" spans="2:6" s="89" customFormat="1" ht="24.75" customHeight="1">
      <c r="B510" s="89" t="s">
        <v>189</v>
      </c>
      <c r="C510" s="89" t="s">
        <v>220</v>
      </c>
      <c r="F510" s="89">
        <f>+-200--180+-170--180</f>
        <v>-10</v>
      </c>
    </row>
    <row r="511" spans="2:6" s="89" customFormat="1" ht="24.75" customHeight="1">
      <c r="B511" s="89" t="s">
        <v>177</v>
      </c>
      <c r="C511" s="89" t="s">
        <v>221</v>
      </c>
      <c r="F511" s="89">
        <f>0--180+-170-0</f>
        <v>10</v>
      </c>
    </row>
    <row r="512" spans="2:8" s="89" customFormat="1" ht="24.75" customHeight="1">
      <c r="B512" s="89" t="s">
        <v>222</v>
      </c>
      <c r="H512" s="94"/>
    </row>
    <row r="513" spans="3:6" s="89" customFormat="1" ht="24.75" customHeight="1">
      <c r="C513" s="146" t="s">
        <v>151</v>
      </c>
      <c r="D513" s="146"/>
      <c r="E513" s="146"/>
      <c r="F513" s="146"/>
    </row>
    <row r="514" spans="2:7" s="89" customFormat="1" ht="24.75" customHeight="1">
      <c r="B514" s="147"/>
      <c r="C514" s="98"/>
      <c r="D514" s="98"/>
      <c r="E514" s="98"/>
      <c r="F514" s="148" t="s">
        <v>152</v>
      </c>
      <c r="G514" s="98"/>
    </row>
    <row r="515" spans="2:7" s="89" customFormat="1" ht="24.75" customHeight="1">
      <c r="B515" s="147"/>
      <c r="C515" s="99" t="s">
        <v>153</v>
      </c>
      <c r="D515" s="99" t="s">
        <v>154</v>
      </c>
      <c r="E515" s="99" t="s">
        <v>155</v>
      </c>
      <c r="F515" s="149"/>
      <c r="G515" s="99" t="s">
        <v>145</v>
      </c>
    </row>
    <row r="516" spans="2:7" s="89" customFormat="1" ht="24.75" customHeight="1">
      <c r="B516" s="148" t="s">
        <v>50</v>
      </c>
      <c r="C516" s="98">
        <v>-180</v>
      </c>
      <c r="D516" s="98">
        <v>-180</v>
      </c>
      <c r="E516" s="98">
        <v>-170</v>
      </c>
      <c r="F516" s="100">
        <v>0</v>
      </c>
      <c r="G516" s="98"/>
    </row>
    <row r="517" spans="2:7" s="89" customFormat="1" ht="24.75" customHeight="1">
      <c r="B517" s="149"/>
      <c r="C517" s="103"/>
      <c r="D517" s="103"/>
      <c r="E517" s="102">
        <v>8000</v>
      </c>
      <c r="F517" s="124">
        <v>8000</v>
      </c>
      <c r="G517" s="101">
        <v>16000</v>
      </c>
    </row>
    <row r="518" spans="2:7" s="89" customFormat="1" ht="24.75" customHeight="1">
      <c r="B518" s="148" t="s">
        <v>66</v>
      </c>
      <c r="C518" s="98">
        <v>-220</v>
      </c>
      <c r="D518" s="98">
        <v>-190</v>
      </c>
      <c r="E518" s="98">
        <v>-160</v>
      </c>
      <c r="F518" s="98">
        <v>0</v>
      </c>
      <c r="G518" s="98"/>
    </row>
    <row r="519" spans="2:7" s="89" customFormat="1" ht="24.75" customHeight="1">
      <c r="B519" s="149"/>
      <c r="C519" s="103">
        <v>6000</v>
      </c>
      <c r="D519" s="103">
        <v>11000</v>
      </c>
      <c r="E519" s="103"/>
      <c r="F519" s="103"/>
      <c r="G519" s="101">
        <v>17000</v>
      </c>
    </row>
    <row r="520" spans="2:7" s="89" customFormat="1" ht="24.75" customHeight="1">
      <c r="B520" s="148" t="s">
        <v>36</v>
      </c>
      <c r="C520" s="98">
        <v>-230</v>
      </c>
      <c r="D520" s="98">
        <v>-200</v>
      </c>
      <c r="E520" s="98">
        <v>-180</v>
      </c>
      <c r="F520" s="98">
        <v>0</v>
      </c>
      <c r="G520" s="104"/>
    </row>
    <row r="521" spans="2:7" s="89" customFormat="1" ht="24.75" customHeight="1">
      <c r="B521" s="149"/>
      <c r="C521" s="103">
        <v>4000</v>
      </c>
      <c r="D521" s="103"/>
      <c r="E521" s="103">
        <v>9000</v>
      </c>
      <c r="F521" s="101"/>
      <c r="G521" s="105">
        <v>13000</v>
      </c>
    </row>
    <row r="522" spans="2:7" s="89" customFormat="1" ht="24.75" customHeight="1">
      <c r="B522" s="148" t="s">
        <v>139</v>
      </c>
      <c r="C522" s="148">
        <v>10000</v>
      </c>
      <c r="D522" s="148">
        <v>11000</v>
      </c>
      <c r="E522" s="148">
        <v>17000</v>
      </c>
      <c r="F522" s="148">
        <v>8000</v>
      </c>
      <c r="G522" s="148">
        <f>C522+D522+E522+F522</f>
        <v>46000</v>
      </c>
    </row>
    <row r="523" spans="2:7" s="89" customFormat="1" ht="24.75" customHeight="1">
      <c r="B523" s="149"/>
      <c r="C523" s="149"/>
      <c r="D523" s="149"/>
      <c r="E523" s="149"/>
      <c r="F523" s="149"/>
      <c r="G523" s="149"/>
    </row>
    <row r="524" s="89" customFormat="1" ht="24.75" customHeight="1"/>
    <row r="525" spans="2:8" s="89" customFormat="1" ht="24.75" customHeight="1">
      <c r="B525" s="89" t="s">
        <v>197</v>
      </c>
      <c r="E525" s="89">
        <f>8000*170+8000*0+6000*220+11000*190+4000*230+9000*180</f>
        <v>7310000</v>
      </c>
      <c r="H525" s="94"/>
    </row>
    <row r="526" s="89" customFormat="1" ht="24.75" customHeight="1"/>
    <row r="527" s="89" customFormat="1" ht="24.75" customHeight="1">
      <c r="B527" s="89" t="s">
        <v>170</v>
      </c>
    </row>
    <row r="528" s="89" customFormat="1" ht="24.75" customHeight="1"/>
    <row r="529" spans="2:6" s="89" customFormat="1" ht="24.75" customHeight="1">
      <c r="B529" s="89" t="s">
        <v>207</v>
      </c>
      <c r="C529" s="89" t="s">
        <v>171</v>
      </c>
      <c r="F529" s="89">
        <f>+-180--230+-180--170</f>
        <v>40</v>
      </c>
    </row>
    <row r="530" spans="2:6" s="89" customFormat="1" ht="24.75" customHeight="1">
      <c r="B530" s="89" t="s">
        <v>223</v>
      </c>
      <c r="C530" s="89" t="s">
        <v>224</v>
      </c>
      <c r="F530" s="89">
        <f>+-180--190+-220--230+-180--170</f>
        <v>10</v>
      </c>
    </row>
    <row r="531" spans="2:6" s="89" customFormat="1" ht="24.75" customHeight="1">
      <c r="B531" s="89" t="s">
        <v>217</v>
      </c>
      <c r="C531" s="89" t="s">
        <v>225</v>
      </c>
      <c r="F531" s="89">
        <f>+-160--220+-230--180</f>
        <v>10</v>
      </c>
    </row>
    <row r="532" spans="2:6" s="89" customFormat="1" ht="24.75" customHeight="1">
      <c r="B532" s="89" t="s">
        <v>194</v>
      </c>
      <c r="C532" s="89" t="s">
        <v>226</v>
      </c>
      <c r="F532" s="89">
        <f>0--220+-230--180+-170-0</f>
        <v>0</v>
      </c>
    </row>
    <row r="533" spans="2:6" s="89" customFormat="1" ht="24.75" customHeight="1">
      <c r="B533" s="89" t="s">
        <v>189</v>
      </c>
      <c r="C533" s="89" t="s">
        <v>227</v>
      </c>
      <c r="F533" s="89">
        <f>+-200--230+-220--190</f>
        <v>0</v>
      </c>
    </row>
    <row r="534" spans="2:6" s="89" customFormat="1" ht="24.75" customHeight="1">
      <c r="B534" s="89" t="s">
        <v>177</v>
      </c>
      <c r="C534" s="89" t="s">
        <v>221</v>
      </c>
      <c r="F534" s="89">
        <f>0--180+-170-0</f>
        <v>10</v>
      </c>
    </row>
    <row r="535" s="89" customFormat="1" ht="24.75" customHeight="1">
      <c r="B535" s="115" t="s">
        <v>179</v>
      </c>
    </row>
    <row r="536" s="89" customFormat="1" ht="24.75" customHeight="1">
      <c r="G536" s="94"/>
    </row>
    <row r="537" spans="2:5" s="109" customFormat="1" ht="24.75" customHeight="1">
      <c r="B537" s="112" t="s">
        <v>180</v>
      </c>
      <c r="E537" s="118"/>
    </row>
    <row r="538" s="109" customFormat="1" ht="24.75" customHeight="1">
      <c r="B538" s="113"/>
    </row>
    <row r="539" spans="2:5" s="109" customFormat="1" ht="24.75" customHeight="1">
      <c r="B539" s="113"/>
      <c r="C539" s="116" t="s">
        <v>153</v>
      </c>
      <c r="D539" s="116" t="s">
        <v>154</v>
      </c>
      <c r="E539" s="116" t="s">
        <v>155</v>
      </c>
    </row>
    <row r="540" spans="2:6" s="109" customFormat="1" ht="24.75" customHeight="1">
      <c r="B540" s="113"/>
      <c r="F540" s="113"/>
    </row>
    <row r="541" spans="2:8" s="109" customFormat="1" ht="24.75" customHeight="1">
      <c r="B541" s="113" t="s">
        <v>50</v>
      </c>
      <c r="C541" s="119">
        <v>1000</v>
      </c>
      <c r="D541" s="119">
        <v>1000</v>
      </c>
      <c r="E541" s="119">
        <v>9000</v>
      </c>
      <c r="F541" s="113"/>
      <c r="H541" s="120"/>
    </row>
    <row r="542" spans="2:4" s="109" customFormat="1" ht="24.75" customHeight="1">
      <c r="B542" s="113" t="s">
        <v>66</v>
      </c>
      <c r="C542" s="109">
        <v>6000</v>
      </c>
      <c r="D542" s="111">
        <v>11000</v>
      </c>
    </row>
    <row r="543" spans="2:5" s="109" customFormat="1" ht="24.75" customHeight="1">
      <c r="B543" s="113" t="s">
        <v>36</v>
      </c>
      <c r="C543" s="119">
        <v>4000</v>
      </c>
      <c r="E543" s="109">
        <v>9000</v>
      </c>
    </row>
    <row r="544" spans="2:6" s="109" customFormat="1" ht="24.75" customHeight="1" thickBot="1">
      <c r="B544" s="113"/>
      <c r="C544" s="125">
        <f>SUM(C541:C543)</f>
        <v>11000</v>
      </c>
      <c r="D544" s="125">
        <f>SUM(D541:D543)</f>
        <v>12000</v>
      </c>
      <c r="E544" s="125">
        <f>SUM(E541:E543)</f>
        <v>18000</v>
      </c>
      <c r="F544" s="109">
        <f>SUM(C544:E544)</f>
        <v>41000</v>
      </c>
    </row>
    <row r="545" spans="2:7" s="109" customFormat="1" ht="24.75" customHeight="1" thickTop="1">
      <c r="B545" s="113"/>
      <c r="C545" s="113"/>
      <c r="D545" s="113"/>
      <c r="E545" s="113"/>
      <c r="G545" s="117"/>
    </row>
    <row r="546" spans="2:4" s="109" customFormat="1" ht="24.75" customHeight="1">
      <c r="B546" s="112" t="s">
        <v>181</v>
      </c>
      <c r="D546" s="109">
        <f>1000*180+1000*180+9000*170+6000*220+11000*190+4000*230+9000*180</f>
        <v>7840000</v>
      </c>
    </row>
    <row r="547" s="89" customFormat="1" ht="24.75" customHeight="1"/>
    <row r="548" spans="2:3" s="109" customFormat="1" ht="24.75" customHeight="1">
      <c r="B548" s="117" t="s">
        <v>182</v>
      </c>
      <c r="C548" s="110"/>
    </row>
    <row r="549" spans="2:3" s="109" customFormat="1" ht="24.75" customHeight="1">
      <c r="B549" s="109" t="s">
        <v>228</v>
      </c>
      <c r="C549" s="110"/>
    </row>
    <row r="550" s="109" customFormat="1" ht="24.75" customHeight="1">
      <c r="B550" s="121"/>
    </row>
    <row r="551" s="89" customFormat="1" ht="24.75" customHeight="1">
      <c r="B551" s="89" t="s">
        <v>137</v>
      </c>
    </row>
    <row r="552" s="89" customFormat="1" ht="24.75" customHeight="1"/>
    <row r="553" spans="2:5" s="89" customFormat="1" ht="24.75" customHeight="1">
      <c r="B553" s="89" t="s">
        <v>138</v>
      </c>
      <c r="C553" s="91" t="s">
        <v>139</v>
      </c>
      <c r="D553" s="92" t="s">
        <v>140</v>
      </c>
      <c r="E553" s="91" t="s">
        <v>141</v>
      </c>
    </row>
    <row r="554" spans="2:5" s="89" customFormat="1" ht="24.75" customHeight="1">
      <c r="B554" s="89" t="s">
        <v>142</v>
      </c>
      <c r="C554" s="89">
        <v>11000</v>
      </c>
      <c r="D554" s="89">
        <v>1000</v>
      </c>
      <c r="E554" s="89">
        <f>C554-D554</f>
        <v>10000</v>
      </c>
    </row>
    <row r="555" spans="2:5" s="89" customFormat="1" ht="24.75" customHeight="1">
      <c r="B555" s="89" t="s">
        <v>143</v>
      </c>
      <c r="C555" s="89">
        <v>12000</v>
      </c>
      <c r="D555" s="89">
        <v>1000</v>
      </c>
      <c r="E555" s="89">
        <f>C555-D555</f>
        <v>11000</v>
      </c>
    </row>
    <row r="556" spans="2:5" s="89" customFormat="1" ht="24.75" customHeight="1">
      <c r="B556" s="89" t="s">
        <v>144</v>
      </c>
      <c r="C556" s="89">
        <v>18000</v>
      </c>
      <c r="D556" s="89">
        <v>1000</v>
      </c>
      <c r="E556" s="89">
        <f>C556-D556</f>
        <v>17000</v>
      </c>
    </row>
    <row r="557" spans="3:6" s="89" customFormat="1" ht="24.75" customHeight="1" thickBot="1">
      <c r="C557" s="93">
        <f>SUM(C554:C556)</f>
        <v>41000</v>
      </c>
      <c r="D557" s="93">
        <f>SUM(D554:D556)</f>
        <v>3000</v>
      </c>
      <c r="E557" s="93">
        <f>SUM(E554:E556)</f>
        <v>38000</v>
      </c>
      <c r="F557" s="94"/>
    </row>
    <row r="558" s="89" customFormat="1" ht="24.75" customHeight="1" thickTop="1"/>
    <row r="559" s="89" customFormat="1" ht="24.75" customHeight="1"/>
    <row r="560" spans="3:5" s="89" customFormat="1" ht="24.75" customHeight="1">
      <c r="C560" s="89" t="s">
        <v>145</v>
      </c>
      <c r="D560" s="95" t="s">
        <v>146</v>
      </c>
      <c r="E560" s="91" t="s">
        <v>141</v>
      </c>
    </row>
    <row r="561" spans="2:5" s="89" customFormat="1" ht="24.75" customHeight="1">
      <c r="B561" s="89" t="s">
        <v>50</v>
      </c>
      <c r="C561" s="89">
        <v>19000</v>
      </c>
      <c r="D561" s="89">
        <v>3000</v>
      </c>
      <c r="E561" s="89">
        <f>C561-D561</f>
        <v>16000</v>
      </c>
    </row>
    <row r="562" spans="2:6" s="89" customFormat="1" ht="24.75" customHeight="1">
      <c r="B562" s="89" t="s">
        <v>147</v>
      </c>
      <c r="C562" s="89">
        <v>17000</v>
      </c>
      <c r="D562" s="96">
        <v>0</v>
      </c>
      <c r="E562" s="89">
        <f>C562-D562</f>
        <v>17000</v>
      </c>
      <c r="F562" s="97"/>
    </row>
    <row r="563" spans="2:6" s="89" customFormat="1" ht="24.75" customHeight="1">
      <c r="B563" s="89" t="s">
        <v>36</v>
      </c>
      <c r="C563" s="89">
        <v>13000</v>
      </c>
      <c r="D563" s="96">
        <v>0</v>
      </c>
      <c r="E563" s="89">
        <f>C563-D563</f>
        <v>13000</v>
      </c>
      <c r="F563" s="97"/>
    </row>
    <row r="564" spans="3:6" s="89" customFormat="1" ht="24.75" customHeight="1" thickBot="1">
      <c r="C564" s="93">
        <f>SUM(C561:C563)</f>
        <v>49000</v>
      </c>
      <c r="D564" s="93">
        <f>SUM(D561:D563)</f>
        <v>3000</v>
      </c>
      <c r="E564" s="93">
        <f>SUM(E561:E563)</f>
        <v>46000</v>
      </c>
      <c r="F564" s="97"/>
    </row>
    <row r="565" s="89" customFormat="1" ht="24.75" customHeight="1" thickTop="1">
      <c r="F565" s="94"/>
    </row>
    <row r="566" spans="2:8" s="89" customFormat="1" ht="24.75" customHeight="1">
      <c r="B566" s="89" t="s">
        <v>148</v>
      </c>
      <c r="D566" s="89">
        <f>E564-E557</f>
        <v>8000</v>
      </c>
      <c r="E566" s="97" t="s">
        <v>149</v>
      </c>
      <c r="H566" s="94"/>
    </row>
    <row r="567" s="89" customFormat="1" ht="24.75" customHeight="1"/>
    <row r="568" spans="3:6" s="89" customFormat="1" ht="24.75" customHeight="1">
      <c r="C568" s="146" t="s">
        <v>151</v>
      </c>
      <c r="D568" s="146"/>
      <c r="E568" s="146"/>
      <c r="F568" s="146"/>
    </row>
    <row r="569" spans="2:7" s="89" customFormat="1" ht="24.75" customHeight="1">
      <c r="B569" s="147"/>
      <c r="C569" s="98"/>
      <c r="D569" s="98"/>
      <c r="E569" s="98"/>
      <c r="F569" s="148" t="s">
        <v>152</v>
      </c>
      <c r="G569" s="98"/>
    </row>
    <row r="570" spans="2:7" s="89" customFormat="1" ht="24.75" customHeight="1">
      <c r="B570" s="147"/>
      <c r="C570" s="99" t="s">
        <v>153</v>
      </c>
      <c r="D570" s="99" t="s">
        <v>154</v>
      </c>
      <c r="E570" s="99" t="s">
        <v>155</v>
      </c>
      <c r="F570" s="149"/>
      <c r="G570" s="99" t="s">
        <v>145</v>
      </c>
    </row>
    <row r="571" spans="2:7" s="89" customFormat="1" ht="24.75" customHeight="1">
      <c r="B571" s="148" t="s">
        <v>50</v>
      </c>
      <c r="C571" s="98">
        <v>-180</v>
      </c>
      <c r="D571" s="98">
        <v>-180</v>
      </c>
      <c r="E571" s="98">
        <v>-170</v>
      </c>
      <c r="F571" s="100">
        <v>0</v>
      </c>
      <c r="G571" s="98"/>
    </row>
    <row r="572" spans="2:7" s="89" customFormat="1" ht="24.75" customHeight="1">
      <c r="B572" s="149"/>
      <c r="C572" s="103"/>
      <c r="D572" s="103"/>
      <c r="E572" s="102">
        <v>14000</v>
      </c>
      <c r="F572" s="124">
        <v>2000</v>
      </c>
      <c r="G572" s="101">
        <v>16000</v>
      </c>
    </row>
    <row r="573" spans="2:7" s="89" customFormat="1" ht="24.75" customHeight="1">
      <c r="B573" s="148" t="s">
        <v>66</v>
      </c>
      <c r="C573" s="98">
        <v>-220</v>
      </c>
      <c r="D573" s="98">
        <v>-190</v>
      </c>
      <c r="E573" s="98">
        <v>-160</v>
      </c>
      <c r="F573" s="98">
        <v>0</v>
      </c>
      <c r="G573" s="98"/>
    </row>
    <row r="574" spans="2:8" s="89" customFormat="1" ht="24.75" customHeight="1">
      <c r="B574" s="149"/>
      <c r="C574" s="103"/>
      <c r="D574" s="103">
        <v>11000</v>
      </c>
      <c r="E574" s="103"/>
      <c r="F574" s="103">
        <v>6000</v>
      </c>
      <c r="G574" s="101">
        <v>17000</v>
      </c>
      <c r="H574" s="89">
        <v>6000</v>
      </c>
    </row>
    <row r="575" spans="2:7" s="89" customFormat="1" ht="24.75" customHeight="1">
      <c r="B575" s="148" t="s">
        <v>36</v>
      </c>
      <c r="C575" s="98">
        <v>-230</v>
      </c>
      <c r="D575" s="98">
        <v>-200</v>
      </c>
      <c r="E575" s="98">
        <v>-180</v>
      </c>
      <c r="F575" s="98">
        <v>0</v>
      </c>
      <c r="G575" s="104"/>
    </row>
    <row r="576" spans="2:8" s="89" customFormat="1" ht="24.75" customHeight="1">
      <c r="B576" s="149"/>
      <c r="C576" s="103">
        <v>10000</v>
      </c>
      <c r="D576" s="103"/>
      <c r="E576" s="103">
        <v>3000</v>
      </c>
      <c r="F576" s="101"/>
      <c r="G576" s="105">
        <v>13000</v>
      </c>
      <c r="H576" s="89">
        <v>3000</v>
      </c>
    </row>
    <row r="577" spans="2:7" s="89" customFormat="1" ht="24.75" customHeight="1">
      <c r="B577" s="148" t="s">
        <v>139</v>
      </c>
      <c r="C577" s="148">
        <v>10000</v>
      </c>
      <c r="D577" s="148">
        <v>11000</v>
      </c>
      <c r="E577" s="148">
        <v>17000</v>
      </c>
      <c r="F577" s="148">
        <v>8000</v>
      </c>
      <c r="G577" s="148">
        <f>C577+D577+E577+F577</f>
        <v>46000</v>
      </c>
    </row>
    <row r="578" spans="2:7" s="89" customFormat="1" ht="24.75" customHeight="1">
      <c r="B578" s="149"/>
      <c r="C578" s="149"/>
      <c r="D578" s="149"/>
      <c r="E578" s="149"/>
      <c r="F578" s="149"/>
      <c r="G578" s="149"/>
    </row>
    <row r="579" s="89" customFormat="1" ht="24.75" customHeight="1"/>
    <row r="580" s="89" customFormat="1" ht="24.75" customHeight="1">
      <c r="B580" s="89" t="s">
        <v>229</v>
      </c>
    </row>
    <row r="581" spans="2:6" s="89" customFormat="1" ht="24.75" customHeight="1">
      <c r="B581" s="91" t="s">
        <v>230</v>
      </c>
      <c r="C581" s="89" t="s">
        <v>231</v>
      </c>
      <c r="E581" s="89" t="s">
        <v>232</v>
      </c>
      <c r="F581" s="89" t="s">
        <v>231</v>
      </c>
    </row>
    <row r="582" spans="2:6" s="89" customFormat="1" ht="24.75" customHeight="1">
      <c r="B582" s="91" t="s">
        <v>50</v>
      </c>
      <c r="C582" s="106" t="s">
        <v>233</v>
      </c>
      <c r="E582" s="89" t="s">
        <v>153</v>
      </c>
      <c r="F582" s="106" t="s">
        <v>234</v>
      </c>
    </row>
    <row r="583" spans="2:6" s="89" customFormat="1" ht="24.75" customHeight="1">
      <c r="B583" s="91" t="s">
        <v>66</v>
      </c>
      <c r="C583" s="106" t="s">
        <v>235</v>
      </c>
      <c r="E583" s="89" t="s">
        <v>154</v>
      </c>
      <c r="F583" s="106" t="s">
        <v>236</v>
      </c>
    </row>
    <row r="584" spans="2:6" s="89" customFormat="1" ht="24.75" customHeight="1">
      <c r="B584" s="91" t="s">
        <v>36</v>
      </c>
      <c r="C584" s="106" t="s">
        <v>237</v>
      </c>
      <c r="E584" s="89" t="s">
        <v>155</v>
      </c>
      <c r="F584" s="106" t="s">
        <v>238</v>
      </c>
    </row>
    <row r="585" spans="2:6" s="89" customFormat="1" ht="24.75" customHeight="1">
      <c r="B585" s="91"/>
      <c r="E585" s="89" t="s">
        <v>152</v>
      </c>
      <c r="F585" s="89">
        <v>0</v>
      </c>
    </row>
    <row r="586" s="89" customFormat="1" ht="24.75" customHeight="1">
      <c r="B586" s="124" t="s">
        <v>239</v>
      </c>
    </row>
    <row r="587" spans="2:7" s="89" customFormat="1" ht="24.75" customHeight="1">
      <c r="B587" s="91" t="s">
        <v>36</v>
      </c>
      <c r="C587" s="106" t="s">
        <v>237</v>
      </c>
      <c r="E587" s="89" t="s">
        <v>187</v>
      </c>
      <c r="G587" s="94"/>
    </row>
    <row r="588" s="89" customFormat="1" ht="24.75" customHeight="1">
      <c r="B588" s="124" t="s">
        <v>240</v>
      </c>
    </row>
    <row r="589" s="89" customFormat="1" ht="24.75" customHeight="1"/>
    <row r="590" s="89" customFormat="1" ht="24.75" customHeight="1"/>
    <row r="591" s="89" customFormat="1" ht="24.75" customHeight="1">
      <c r="B591" s="89" t="s">
        <v>241</v>
      </c>
    </row>
    <row r="592" spans="2:6" s="89" customFormat="1" ht="24.75" customHeight="1">
      <c r="B592" s="91" t="s">
        <v>50</v>
      </c>
      <c r="C592" s="106" t="s">
        <v>238</v>
      </c>
      <c r="E592" s="89" t="s">
        <v>154</v>
      </c>
      <c r="F592" s="89" t="b">
        <f>-200--190=-10</f>
        <v>1</v>
      </c>
    </row>
    <row r="593" spans="2:6" s="89" customFormat="1" ht="24.75" customHeight="1">
      <c r="B593" s="91" t="s">
        <v>66</v>
      </c>
      <c r="C593" s="106" t="s">
        <v>242</v>
      </c>
      <c r="E593" s="89" t="s">
        <v>155</v>
      </c>
      <c r="F593" s="106" t="s">
        <v>238</v>
      </c>
    </row>
    <row r="594" spans="2:6" s="89" customFormat="1" ht="24.75" customHeight="1">
      <c r="B594" s="91" t="s">
        <v>36</v>
      </c>
      <c r="C594" s="106" t="s">
        <v>243</v>
      </c>
      <c r="E594" s="89" t="s">
        <v>152</v>
      </c>
      <c r="F594" s="89">
        <v>0</v>
      </c>
    </row>
    <row r="595" s="89" customFormat="1" ht="24.75" customHeight="1">
      <c r="B595" s="124" t="s">
        <v>239</v>
      </c>
    </row>
    <row r="596" spans="2:5" s="89" customFormat="1" ht="24.75" customHeight="1">
      <c r="B596" s="91" t="s">
        <v>66</v>
      </c>
      <c r="C596" s="106" t="s">
        <v>242</v>
      </c>
      <c r="E596" s="89" t="s">
        <v>199</v>
      </c>
    </row>
    <row r="597" spans="2:7" s="89" customFormat="1" ht="24.75" customHeight="1">
      <c r="B597" s="124" t="s">
        <v>244</v>
      </c>
      <c r="G597" s="94"/>
    </row>
    <row r="598" s="89" customFormat="1" ht="24.75" customHeight="1"/>
    <row r="599" s="89" customFormat="1" ht="24.75" customHeight="1">
      <c r="B599" s="89" t="s">
        <v>245</v>
      </c>
    </row>
    <row r="600" spans="2:6" s="89" customFormat="1" ht="24.75" customHeight="1">
      <c r="B600" s="91"/>
      <c r="C600" s="106"/>
      <c r="E600" s="89" t="s">
        <v>155</v>
      </c>
      <c r="F600" s="106" t="s">
        <v>238</v>
      </c>
    </row>
    <row r="601" s="89" customFormat="1" ht="24.75" customHeight="1">
      <c r="B601" s="124" t="s">
        <v>239</v>
      </c>
    </row>
    <row r="602" spans="2:5" s="89" customFormat="1" ht="24.75" customHeight="1">
      <c r="B602" s="91" t="s">
        <v>155</v>
      </c>
      <c r="C602" s="106" t="s">
        <v>238</v>
      </c>
      <c r="E602" s="89" t="s">
        <v>246</v>
      </c>
    </row>
    <row r="603" spans="2:7" s="89" customFormat="1" ht="24.75" customHeight="1">
      <c r="B603" s="124" t="s">
        <v>247</v>
      </c>
      <c r="G603" s="94"/>
    </row>
    <row r="604" s="89" customFormat="1" ht="24.75" customHeight="1"/>
    <row r="605" s="89" customFormat="1" ht="24.75" customHeight="1">
      <c r="B605" s="89" t="s">
        <v>248</v>
      </c>
    </row>
    <row r="606" spans="2:6" s="89" customFormat="1" ht="24.75" customHeight="1">
      <c r="B606" s="91"/>
      <c r="C606" s="106"/>
      <c r="E606" s="89" t="s">
        <v>155</v>
      </c>
      <c r="F606" s="106" t="s">
        <v>249</v>
      </c>
    </row>
    <row r="607" s="89" customFormat="1" ht="24.75" customHeight="1">
      <c r="B607" s="124" t="s">
        <v>239</v>
      </c>
    </row>
    <row r="608" spans="2:5" s="89" customFormat="1" ht="24.75" customHeight="1">
      <c r="B608" s="91" t="s">
        <v>155</v>
      </c>
      <c r="C608" s="106" t="s">
        <v>249</v>
      </c>
      <c r="E608" s="89" t="s">
        <v>191</v>
      </c>
    </row>
    <row r="609" spans="2:7" s="89" customFormat="1" ht="24.75" customHeight="1">
      <c r="B609" s="124" t="s">
        <v>250</v>
      </c>
      <c r="G609" s="94"/>
    </row>
    <row r="610" s="89" customFormat="1" ht="24.75" customHeight="1"/>
    <row r="611" s="89" customFormat="1" ht="24.75" customHeight="1">
      <c r="B611" s="89" t="s">
        <v>251</v>
      </c>
    </row>
    <row r="612" s="89" customFormat="1" ht="24.75" customHeight="1"/>
    <row r="613" spans="2:6" s="89" customFormat="1" ht="24.75" customHeight="1">
      <c r="B613" s="89" t="s">
        <v>197</v>
      </c>
      <c r="D613" s="89">
        <f>14000*170+11000*190+10000*230+3000*180+2000*0+6000*0</f>
        <v>7310000</v>
      </c>
      <c r="F613" s="94"/>
    </row>
    <row r="614" s="89" customFormat="1" ht="24.75" customHeight="1"/>
    <row r="615" s="89" customFormat="1" ht="24.75" customHeight="1">
      <c r="B615" s="89" t="s">
        <v>170</v>
      </c>
    </row>
    <row r="616" s="89" customFormat="1" ht="24.75" customHeight="1"/>
    <row r="617" spans="2:6" s="89" customFormat="1" ht="24.75" customHeight="1">
      <c r="B617" s="89" t="s">
        <v>207</v>
      </c>
      <c r="C617" s="89" t="s">
        <v>171</v>
      </c>
      <c r="F617" s="89">
        <f>+-180--230+-180--170</f>
        <v>40</v>
      </c>
    </row>
    <row r="618" spans="2:6" s="89" customFormat="1" ht="24.75" customHeight="1">
      <c r="B618" s="89" t="s">
        <v>223</v>
      </c>
      <c r="C618" s="89" t="s">
        <v>252</v>
      </c>
      <c r="F618" s="89">
        <f>+-180-0+0--190</f>
        <v>10</v>
      </c>
    </row>
    <row r="619" spans="2:6" s="89" customFormat="1" ht="24.75" customHeight="1">
      <c r="B619" s="89" t="s">
        <v>185</v>
      </c>
      <c r="C619" s="89" t="s">
        <v>253</v>
      </c>
      <c r="F619" s="89">
        <f>+-220--230+-180--170+0-0</f>
        <v>0</v>
      </c>
    </row>
    <row r="620" spans="2:6" s="89" customFormat="1" ht="24.75" customHeight="1">
      <c r="B620" s="89" t="s">
        <v>217</v>
      </c>
      <c r="C620" s="89" t="s">
        <v>254</v>
      </c>
      <c r="F620" s="89">
        <f>+-160--170+0-0</f>
        <v>10</v>
      </c>
    </row>
    <row r="621" spans="2:6" s="89" customFormat="1" ht="24.75" customHeight="1">
      <c r="B621" s="89" t="s">
        <v>189</v>
      </c>
      <c r="C621" s="89" t="s">
        <v>255</v>
      </c>
      <c r="F621" s="89">
        <f>+-200--180+-170-0+0--190</f>
        <v>0</v>
      </c>
    </row>
    <row r="622" spans="2:6" s="89" customFormat="1" ht="24.75" customHeight="1">
      <c r="B622" s="89" t="s">
        <v>256</v>
      </c>
      <c r="C622" s="89" t="s">
        <v>257</v>
      </c>
      <c r="F622" s="89">
        <f>0--180+-170-0</f>
        <v>10</v>
      </c>
    </row>
    <row r="623" s="89" customFormat="1" ht="24.75" customHeight="1"/>
    <row r="624" s="89" customFormat="1" ht="24.75" customHeight="1">
      <c r="B624" s="115" t="s">
        <v>179</v>
      </c>
    </row>
    <row r="625" spans="2:5" s="109" customFormat="1" ht="24.75" customHeight="1">
      <c r="B625" s="112" t="s">
        <v>180</v>
      </c>
      <c r="E625" s="118"/>
    </row>
    <row r="626" s="109" customFormat="1" ht="24.75" customHeight="1">
      <c r="B626" s="113"/>
    </row>
    <row r="627" spans="2:5" s="109" customFormat="1" ht="24.75" customHeight="1">
      <c r="B627" s="113"/>
      <c r="C627" s="116" t="s">
        <v>153</v>
      </c>
      <c r="D627" s="116" t="s">
        <v>154</v>
      </c>
      <c r="E627" s="116" t="s">
        <v>155</v>
      </c>
    </row>
    <row r="628" spans="2:6" s="109" customFormat="1" ht="24.75" customHeight="1">
      <c r="B628" s="113"/>
      <c r="F628" s="113"/>
    </row>
    <row r="629" spans="2:8" s="109" customFormat="1" ht="24.75" customHeight="1">
      <c r="B629" s="113" t="s">
        <v>50</v>
      </c>
      <c r="C629" s="119">
        <v>1000</v>
      </c>
      <c r="D629" s="119">
        <v>1000</v>
      </c>
      <c r="E629" s="119">
        <v>15000</v>
      </c>
      <c r="F629" s="113"/>
      <c r="H629" s="120"/>
    </row>
    <row r="630" spans="2:4" s="109" customFormat="1" ht="24.75" customHeight="1">
      <c r="B630" s="113" t="s">
        <v>66</v>
      </c>
      <c r="D630" s="111">
        <v>11000</v>
      </c>
    </row>
    <row r="631" spans="2:5" s="109" customFormat="1" ht="24.75" customHeight="1">
      <c r="B631" s="113" t="s">
        <v>36</v>
      </c>
      <c r="C631" s="119">
        <v>10000</v>
      </c>
      <c r="E631" s="109">
        <v>3000</v>
      </c>
    </row>
    <row r="632" spans="2:6" s="109" customFormat="1" ht="24.75" customHeight="1" thickBot="1">
      <c r="B632" s="113"/>
      <c r="C632" s="125">
        <f>SUM(C629:C631)</f>
        <v>11000</v>
      </c>
      <c r="D632" s="125">
        <f>SUM(D629:D631)</f>
        <v>12000</v>
      </c>
      <c r="E632" s="125">
        <f>SUM(E629:E631)</f>
        <v>18000</v>
      </c>
      <c r="F632" s="109">
        <f>SUM(C632:E632)</f>
        <v>41000</v>
      </c>
    </row>
    <row r="633" spans="2:7" s="109" customFormat="1" ht="24.75" customHeight="1" thickTop="1">
      <c r="B633" s="113"/>
      <c r="C633" s="113"/>
      <c r="D633" s="113"/>
      <c r="E633" s="113"/>
      <c r="G633" s="117"/>
    </row>
    <row r="634" spans="2:4" s="109" customFormat="1" ht="24.75" customHeight="1">
      <c r="B634" s="112" t="s">
        <v>181</v>
      </c>
      <c r="D634" s="109">
        <f>1000*180+1000*180+9000*170+6000*220+11000*190+4000*230+9000*180</f>
        <v>7840000</v>
      </c>
    </row>
    <row r="635" s="89" customFormat="1" ht="24.75" customHeight="1">
      <c r="F635" s="94"/>
    </row>
    <row r="637" spans="1:3" s="89" customFormat="1" ht="24.75" customHeight="1">
      <c r="A637" s="152" t="s">
        <v>324</v>
      </c>
      <c r="B637" s="152"/>
      <c r="C637" s="152"/>
    </row>
    <row r="638" spans="1:2" s="89" customFormat="1" ht="24.75" customHeight="1">
      <c r="A638" s="89" t="s">
        <v>388</v>
      </c>
      <c r="B638" s="94" t="s">
        <v>390</v>
      </c>
    </row>
    <row r="639" s="89" customFormat="1" ht="24.75" customHeight="1">
      <c r="B639" s="94"/>
    </row>
    <row r="640" s="89" customFormat="1" ht="24.75" customHeight="1">
      <c r="A640" s="94" t="s">
        <v>389</v>
      </c>
    </row>
    <row r="641" s="89" customFormat="1" ht="24.75" customHeight="1">
      <c r="B641" s="94"/>
    </row>
    <row r="642" s="89" customFormat="1" ht="24.75" customHeight="1">
      <c r="A642" s="126" t="s">
        <v>382</v>
      </c>
    </row>
    <row r="643" spans="3:9" s="89" customFormat="1" ht="24.75" customHeight="1">
      <c r="C643" s="108" t="s">
        <v>139</v>
      </c>
      <c r="D643" s="148" t="s">
        <v>258</v>
      </c>
      <c r="E643" s="148">
        <v>400</v>
      </c>
      <c r="F643" s="148">
        <v>450</v>
      </c>
      <c r="G643" s="148">
        <v>500</v>
      </c>
      <c r="H643" s="148">
        <v>550</v>
      </c>
      <c r="I643" s="148">
        <v>600</v>
      </c>
    </row>
    <row r="644" spans="3:9" s="89" customFormat="1" ht="24.75" customHeight="1">
      <c r="C644" s="103" t="s">
        <v>145</v>
      </c>
      <c r="D644" s="149"/>
      <c r="E644" s="149"/>
      <c r="F644" s="149"/>
      <c r="G644" s="149"/>
      <c r="H644" s="149"/>
      <c r="I644" s="149"/>
    </row>
    <row r="645" spans="3:10" s="89" customFormat="1" ht="24.75" customHeight="1">
      <c r="C645" s="127">
        <v>400</v>
      </c>
      <c r="D645" s="127">
        <v>0.1</v>
      </c>
      <c r="E645" s="128">
        <f>400*200</f>
        <v>80000</v>
      </c>
      <c r="F645" s="129">
        <f>D662</f>
        <v>76000</v>
      </c>
      <c r="G645" s="129">
        <f>D667</f>
        <v>72000</v>
      </c>
      <c r="H645" s="129">
        <f>G657</f>
        <v>68000</v>
      </c>
      <c r="I645" s="129">
        <f>J657</f>
        <v>64000</v>
      </c>
      <c r="J645" s="94"/>
    </row>
    <row r="646" spans="3:10" s="89" customFormat="1" ht="24.75" customHeight="1">
      <c r="C646" s="127">
        <v>450</v>
      </c>
      <c r="D646" s="127">
        <v>0.15</v>
      </c>
      <c r="E646" s="129">
        <f>400*200</f>
        <v>80000</v>
      </c>
      <c r="F646" s="128">
        <f>200*450</f>
        <v>90000</v>
      </c>
      <c r="G646" s="129">
        <f>D672</f>
        <v>86000</v>
      </c>
      <c r="H646" s="129">
        <f>G662</f>
        <v>82000</v>
      </c>
      <c r="I646" s="129">
        <f>J663</f>
        <v>78000</v>
      </c>
      <c r="J646" s="94"/>
    </row>
    <row r="647" spans="3:10" s="89" customFormat="1" ht="24.75" customHeight="1">
      <c r="C647" s="127">
        <v>500</v>
      </c>
      <c r="D647" s="127">
        <v>0.4</v>
      </c>
      <c r="E647" s="129">
        <f>400*200</f>
        <v>80000</v>
      </c>
      <c r="F647" s="129">
        <f>200*450</f>
        <v>90000</v>
      </c>
      <c r="G647" s="128">
        <f>500*200</f>
        <v>100000</v>
      </c>
      <c r="H647" s="129">
        <f>G667</f>
        <v>96000</v>
      </c>
      <c r="I647" s="129">
        <f>J668</f>
        <v>92000</v>
      </c>
      <c r="J647" s="94"/>
    </row>
    <row r="648" spans="3:10" s="89" customFormat="1" ht="24.75" customHeight="1">
      <c r="C648" s="127">
        <v>550</v>
      </c>
      <c r="D648" s="127">
        <v>0.25</v>
      </c>
      <c r="E648" s="129">
        <f>400*200</f>
        <v>80000</v>
      </c>
      <c r="F648" s="129">
        <f>200*450</f>
        <v>90000</v>
      </c>
      <c r="G648" s="129">
        <f>500*200</f>
        <v>100000</v>
      </c>
      <c r="H648" s="128">
        <f>550*200</f>
        <v>110000</v>
      </c>
      <c r="I648" s="129">
        <f>J674</f>
        <v>106000</v>
      </c>
      <c r="J648" s="94"/>
    </row>
    <row r="649" spans="3:10" s="89" customFormat="1" ht="24.75" customHeight="1">
      <c r="C649" s="127">
        <v>600</v>
      </c>
      <c r="D649" s="127">
        <v>0.1</v>
      </c>
      <c r="E649" s="129">
        <f>400*200</f>
        <v>80000</v>
      </c>
      <c r="F649" s="129">
        <f>200*450</f>
        <v>90000</v>
      </c>
      <c r="G649" s="129">
        <f>500*200</f>
        <v>100000</v>
      </c>
      <c r="H649" s="129">
        <f>550*200</f>
        <v>110000</v>
      </c>
      <c r="I649" s="128">
        <f>600*200</f>
        <v>120000</v>
      </c>
      <c r="J649" s="94"/>
    </row>
    <row r="650" spans="3:10" s="89" customFormat="1" ht="24.75" customHeight="1">
      <c r="C650" s="130" t="s">
        <v>259</v>
      </c>
      <c r="D650" s="127"/>
      <c r="E650" s="131">
        <f>D645*E645+D646*E646+D647*E647+D648*E648+D649*E649</f>
        <v>80000</v>
      </c>
      <c r="F650" s="131">
        <f>D645*F645+D646*F646+D647*F647+D648*F648+D649*F649</f>
        <v>88600</v>
      </c>
      <c r="G650" s="131">
        <f>G645*D645+G646*D646+G647*D647+G648*D648+G649*D649</f>
        <v>95100</v>
      </c>
      <c r="H650" s="132">
        <f>H645*D645+H646*D646+H647*D647+H648*D648+H649*D649</f>
        <v>96000</v>
      </c>
      <c r="I650" s="131">
        <f>I645*D645+I646*D646+I647*D647+I648*D648+I649*D649</f>
        <v>93400</v>
      </c>
      <c r="J650" s="94"/>
    </row>
    <row r="651" spans="3:9" s="89" customFormat="1" ht="24.75" customHeight="1">
      <c r="C651" s="99" t="s">
        <v>260</v>
      </c>
      <c r="D651" s="127"/>
      <c r="E651" s="127"/>
      <c r="F651" s="127"/>
      <c r="G651" s="127"/>
      <c r="H651" s="127"/>
      <c r="I651" s="127"/>
    </row>
    <row r="652" s="109" customFormat="1" ht="24.75" customHeight="1"/>
    <row r="653" spans="3:4" s="109" customFormat="1" ht="24.75" customHeight="1">
      <c r="C653" s="89" t="s">
        <v>261</v>
      </c>
      <c r="D653" s="89"/>
    </row>
    <row r="654" spans="3:10" s="109" customFormat="1" ht="24.75" customHeight="1">
      <c r="C654" s="89" t="s">
        <v>262</v>
      </c>
      <c r="D654" s="121">
        <v>300</v>
      </c>
      <c r="F654" s="89" t="s">
        <v>263</v>
      </c>
      <c r="G654" s="122">
        <f>400*300</f>
        <v>120000</v>
      </c>
      <c r="I654" s="89" t="s">
        <v>263</v>
      </c>
      <c r="J654" s="122">
        <f>400*300</f>
        <v>120000</v>
      </c>
    </row>
    <row r="655" spans="3:10" s="109" customFormat="1" ht="24.75" customHeight="1">
      <c r="C655" s="89" t="s">
        <v>264</v>
      </c>
      <c r="D655" s="133">
        <v>-100</v>
      </c>
      <c r="F655" s="89" t="s">
        <v>265</v>
      </c>
      <c r="G655" s="122">
        <f>150*20</f>
        <v>3000</v>
      </c>
      <c r="I655" s="89" t="s">
        <v>266</v>
      </c>
      <c r="J655" s="122">
        <f>200*20</f>
        <v>4000</v>
      </c>
    </row>
    <row r="656" spans="3:10" s="109" customFormat="1" ht="24.75" customHeight="1" thickBot="1">
      <c r="C656" s="89" t="s">
        <v>267</v>
      </c>
      <c r="D656" s="134">
        <f>SUM(D654:D655)</f>
        <v>200</v>
      </c>
      <c r="F656" s="89" t="s">
        <v>268</v>
      </c>
      <c r="G656" s="122">
        <f>-550*100</f>
        <v>-55000</v>
      </c>
      <c r="I656" s="89" t="s">
        <v>269</v>
      </c>
      <c r="J656" s="122">
        <f>-600*100</f>
        <v>-60000</v>
      </c>
    </row>
    <row r="657" spans="3:10" s="109" customFormat="1" ht="24.75" customHeight="1" thickBot="1" thickTop="1">
      <c r="C657" s="89"/>
      <c r="D657" s="94"/>
      <c r="F657" s="89"/>
      <c r="G657" s="135">
        <f>SUM(G654:G656)</f>
        <v>68000</v>
      </c>
      <c r="I657" s="89"/>
      <c r="J657" s="135">
        <f>SUM(J654:J656)</f>
        <v>64000</v>
      </c>
    </row>
    <row r="658" spans="3:4" s="89" customFormat="1" ht="24.75" customHeight="1" thickTop="1">
      <c r="C658" s="89" t="s">
        <v>270</v>
      </c>
      <c r="D658" s="94"/>
    </row>
    <row r="659" spans="3:7" s="89" customFormat="1" ht="24.75" customHeight="1">
      <c r="C659" s="89" t="s">
        <v>271</v>
      </c>
      <c r="D659" s="122">
        <f>400*300</f>
        <v>120000</v>
      </c>
      <c r="F659" s="89" t="s">
        <v>272</v>
      </c>
      <c r="G659" s="122">
        <f>450*300</f>
        <v>135000</v>
      </c>
    </row>
    <row r="660" spans="3:10" s="89" customFormat="1" ht="24.75" customHeight="1">
      <c r="C660" s="89" t="s">
        <v>273</v>
      </c>
      <c r="D660" s="122">
        <f>50*20</f>
        <v>1000</v>
      </c>
      <c r="E660" s="94"/>
      <c r="F660" s="89" t="s">
        <v>274</v>
      </c>
      <c r="G660" s="122">
        <f>100*20</f>
        <v>2000</v>
      </c>
      <c r="I660" s="89" t="s">
        <v>272</v>
      </c>
      <c r="J660" s="122">
        <f>450*300</f>
        <v>135000</v>
      </c>
    </row>
    <row r="661" spans="3:10" s="89" customFormat="1" ht="24.75" customHeight="1">
      <c r="C661" s="89" t="s">
        <v>275</v>
      </c>
      <c r="D661" s="122">
        <f>-450*100</f>
        <v>-45000</v>
      </c>
      <c r="F661" s="89" t="s">
        <v>268</v>
      </c>
      <c r="G661" s="122">
        <f>-550*100</f>
        <v>-55000</v>
      </c>
      <c r="I661" s="89" t="s">
        <v>265</v>
      </c>
      <c r="J661" s="122">
        <f>150*20</f>
        <v>3000</v>
      </c>
    </row>
    <row r="662" spans="4:10" s="89" customFormat="1" ht="24.75" customHeight="1" thickBot="1">
      <c r="D662" s="135">
        <f>SUM(D659:D661)</f>
        <v>76000</v>
      </c>
      <c r="G662" s="135">
        <f>SUM(G659:G661)</f>
        <v>82000</v>
      </c>
      <c r="I662" s="89" t="s">
        <v>269</v>
      </c>
      <c r="J662" s="122">
        <f>-600*100</f>
        <v>-60000</v>
      </c>
    </row>
    <row r="663" s="89" customFormat="1" ht="24.75" customHeight="1" thickBot="1" thickTop="1">
      <c r="J663" s="135">
        <f>SUM(J660:J662)</f>
        <v>78000</v>
      </c>
    </row>
    <row r="664" spans="3:7" s="89" customFormat="1" ht="24.75" customHeight="1" thickTop="1">
      <c r="C664" s="89" t="s">
        <v>263</v>
      </c>
      <c r="D664" s="122">
        <f>400*300</f>
        <v>120000</v>
      </c>
      <c r="F664" s="89" t="s">
        <v>276</v>
      </c>
      <c r="G664" s="122">
        <f>500*300</f>
        <v>150000</v>
      </c>
    </row>
    <row r="665" spans="3:10" s="89" customFormat="1" ht="24.75" customHeight="1">
      <c r="C665" s="89" t="s">
        <v>274</v>
      </c>
      <c r="D665" s="122">
        <f>100*20</f>
        <v>2000</v>
      </c>
      <c r="F665" s="89" t="s">
        <v>277</v>
      </c>
      <c r="G665" s="122">
        <f>50*20</f>
        <v>1000</v>
      </c>
      <c r="I665" s="89" t="s">
        <v>276</v>
      </c>
      <c r="J665" s="122">
        <f>500*300</f>
        <v>150000</v>
      </c>
    </row>
    <row r="666" spans="3:10" s="89" customFormat="1" ht="24.75" customHeight="1">
      <c r="C666" s="89" t="s">
        <v>278</v>
      </c>
      <c r="D666" s="122">
        <f>-500*100</f>
        <v>-50000</v>
      </c>
      <c r="F666" s="89" t="s">
        <v>268</v>
      </c>
      <c r="G666" s="122">
        <f>-550*100</f>
        <v>-55000</v>
      </c>
      <c r="I666" s="89" t="s">
        <v>274</v>
      </c>
      <c r="J666" s="122">
        <f>100*20</f>
        <v>2000</v>
      </c>
    </row>
    <row r="667" spans="4:10" s="89" customFormat="1" ht="24.75" customHeight="1" thickBot="1">
      <c r="D667" s="135">
        <f>SUM(D664:D666)</f>
        <v>72000</v>
      </c>
      <c r="G667" s="135">
        <f>SUM(G664:G666)</f>
        <v>96000</v>
      </c>
      <c r="I667" s="89" t="s">
        <v>269</v>
      </c>
      <c r="J667" s="122">
        <f>-600*100</f>
        <v>-60000</v>
      </c>
    </row>
    <row r="668" s="89" customFormat="1" ht="24.75" customHeight="1" thickBot="1" thickTop="1">
      <c r="J668" s="135">
        <f>SUM(J665:J667)</f>
        <v>92000</v>
      </c>
    </row>
    <row r="669" spans="3:4" s="89" customFormat="1" ht="24.75" customHeight="1" thickTop="1">
      <c r="C669" s="89" t="s">
        <v>272</v>
      </c>
      <c r="D669" s="122">
        <f>450*300</f>
        <v>135000</v>
      </c>
    </row>
    <row r="670" spans="3:4" s="89" customFormat="1" ht="24.75" customHeight="1">
      <c r="C670" s="89" t="s">
        <v>277</v>
      </c>
      <c r="D670" s="122">
        <f>50*20</f>
        <v>1000</v>
      </c>
    </row>
    <row r="671" spans="3:10" s="89" customFormat="1" ht="24.75" customHeight="1">
      <c r="C671" s="89" t="s">
        <v>278</v>
      </c>
      <c r="D671" s="122">
        <f>-500*100</f>
        <v>-50000</v>
      </c>
      <c r="I671" s="89" t="s">
        <v>279</v>
      </c>
      <c r="J671" s="122">
        <f>550*300</f>
        <v>165000</v>
      </c>
    </row>
    <row r="672" spans="4:10" s="89" customFormat="1" ht="24.75" customHeight="1" thickBot="1">
      <c r="D672" s="135">
        <f>SUM(D669:D671)</f>
        <v>86000</v>
      </c>
      <c r="I672" s="89" t="s">
        <v>277</v>
      </c>
      <c r="J672" s="122">
        <f>50*20</f>
        <v>1000</v>
      </c>
    </row>
    <row r="673" spans="9:10" s="89" customFormat="1" ht="24.75" customHeight="1" thickTop="1">
      <c r="I673" s="89" t="s">
        <v>269</v>
      </c>
      <c r="J673" s="122">
        <f>-600*100</f>
        <v>-60000</v>
      </c>
    </row>
    <row r="674" s="89" customFormat="1" ht="24.75" customHeight="1" thickBot="1">
      <c r="J674" s="135">
        <f>SUM(J671:J673)</f>
        <v>106000</v>
      </c>
    </row>
    <row r="675" s="89" customFormat="1" ht="24.75" customHeight="1" thickTop="1"/>
    <row r="676" spans="2:5" s="89" customFormat="1" ht="24.75" customHeight="1">
      <c r="B676" s="89" t="s">
        <v>280</v>
      </c>
      <c r="E676" s="89">
        <v>550</v>
      </c>
    </row>
    <row r="677" s="89" customFormat="1" ht="24.75" customHeight="1">
      <c r="B677" s="89" t="s">
        <v>281</v>
      </c>
    </row>
    <row r="678" s="89" customFormat="1" ht="24.75" customHeight="1">
      <c r="E678" s="94"/>
    </row>
    <row r="679" s="89" customFormat="1" ht="24.75" customHeight="1"/>
    <row r="680" spans="1:5" s="89" customFormat="1" ht="24.75" customHeight="1">
      <c r="A680" s="126" t="s">
        <v>282</v>
      </c>
      <c r="B680" s="127" t="s">
        <v>283</v>
      </c>
      <c r="C680" s="127"/>
      <c r="D680" s="127"/>
      <c r="E680" s="127"/>
    </row>
    <row r="681" spans="2:5" s="89" customFormat="1" ht="24.75" customHeight="1">
      <c r="B681" s="136" t="s">
        <v>284</v>
      </c>
      <c r="C681" s="136" t="s">
        <v>258</v>
      </c>
      <c r="D681" s="137" t="s">
        <v>285</v>
      </c>
      <c r="E681" s="138"/>
    </row>
    <row r="682" spans="2:5" s="89" customFormat="1" ht="24.75" customHeight="1">
      <c r="B682" s="136">
        <f>C645</f>
        <v>400</v>
      </c>
      <c r="C682" s="136">
        <f>D645</f>
        <v>0.1</v>
      </c>
      <c r="D682" s="131">
        <f>E645</f>
        <v>80000</v>
      </c>
      <c r="E682" s="139">
        <f>C682*D682</f>
        <v>8000</v>
      </c>
    </row>
    <row r="683" spans="2:5" s="89" customFormat="1" ht="24.75" customHeight="1">
      <c r="B683" s="136">
        <f aca="true" t="shared" si="0" ref="B683:C686">C646</f>
        <v>450</v>
      </c>
      <c r="C683" s="136">
        <f t="shared" si="0"/>
        <v>0.15</v>
      </c>
      <c r="D683" s="131">
        <f>F646</f>
        <v>90000</v>
      </c>
      <c r="E683" s="139">
        <f>C683*D683</f>
        <v>13500</v>
      </c>
    </row>
    <row r="684" spans="2:5" s="89" customFormat="1" ht="24.75" customHeight="1">
      <c r="B684" s="136">
        <f t="shared" si="0"/>
        <v>500</v>
      </c>
      <c r="C684" s="136">
        <f t="shared" si="0"/>
        <v>0.4</v>
      </c>
      <c r="D684" s="131">
        <f>G647</f>
        <v>100000</v>
      </c>
      <c r="E684" s="139">
        <f>C684*D684</f>
        <v>40000</v>
      </c>
    </row>
    <row r="685" spans="2:5" s="89" customFormat="1" ht="24.75" customHeight="1">
      <c r="B685" s="136">
        <f t="shared" si="0"/>
        <v>550</v>
      </c>
      <c r="C685" s="136">
        <f t="shared" si="0"/>
        <v>0.25</v>
      </c>
      <c r="D685" s="131">
        <f>H648</f>
        <v>110000</v>
      </c>
      <c r="E685" s="139">
        <f>C685*D685</f>
        <v>27500</v>
      </c>
    </row>
    <row r="686" spans="2:5" s="89" customFormat="1" ht="24.75" customHeight="1">
      <c r="B686" s="136">
        <f t="shared" si="0"/>
        <v>600</v>
      </c>
      <c r="C686" s="136">
        <f t="shared" si="0"/>
        <v>0.1</v>
      </c>
      <c r="D686" s="131">
        <f>I649</f>
        <v>120000</v>
      </c>
      <c r="E686" s="139">
        <f>C686*D686</f>
        <v>12000</v>
      </c>
    </row>
    <row r="687" spans="2:5" s="89" customFormat="1" ht="24.75" customHeight="1">
      <c r="B687" s="127" t="s">
        <v>286</v>
      </c>
      <c r="C687" s="127"/>
      <c r="D687" s="127"/>
      <c r="E687" s="139">
        <f>SUM(E682:E686)</f>
        <v>101000</v>
      </c>
    </row>
    <row r="688" spans="2:5" s="89" customFormat="1" ht="24.75" customHeight="1">
      <c r="B688" s="127" t="s">
        <v>287</v>
      </c>
      <c r="C688" s="127"/>
      <c r="D688" s="127"/>
      <c r="E688" s="139">
        <f>H650</f>
        <v>96000</v>
      </c>
    </row>
    <row r="689" spans="2:5" s="89" customFormat="1" ht="24.75" customHeight="1">
      <c r="B689" s="127" t="s">
        <v>288</v>
      </c>
      <c r="C689" s="127"/>
      <c r="D689" s="127"/>
      <c r="E689" s="139">
        <f>E687-E688</f>
        <v>5000</v>
      </c>
    </row>
    <row r="690" s="89" customFormat="1" ht="24.75" customHeight="1"/>
    <row r="691" spans="2:6" s="89" customFormat="1" ht="24.75" customHeight="1">
      <c r="B691" s="89" t="s">
        <v>289</v>
      </c>
      <c r="F691" s="89" t="s">
        <v>290</v>
      </c>
    </row>
    <row r="692" s="89" customFormat="1" ht="24.75" customHeight="1"/>
    <row r="694" s="89" customFormat="1" ht="24.75" customHeight="1">
      <c r="A694" s="140" t="s">
        <v>325</v>
      </c>
    </row>
    <row r="695" s="89" customFormat="1" ht="24.75" customHeight="1">
      <c r="A695" s="141" t="s">
        <v>383</v>
      </c>
    </row>
    <row r="696" spans="1:2" s="89" customFormat="1" ht="24.75" customHeight="1">
      <c r="A696" s="91"/>
      <c r="B696" s="89" t="s">
        <v>320</v>
      </c>
    </row>
    <row r="697" spans="1:7" s="89" customFormat="1" ht="24.75" customHeight="1">
      <c r="A697" s="91"/>
      <c r="B697" s="89" t="s">
        <v>319</v>
      </c>
      <c r="G697" s="94"/>
    </row>
    <row r="698" spans="1:2" s="89" customFormat="1" ht="24.75" customHeight="1">
      <c r="A698" s="91"/>
      <c r="B698" s="94"/>
    </row>
    <row r="699" s="89" customFormat="1" ht="24.75" customHeight="1">
      <c r="A699" s="141" t="s">
        <v>384</v>
      </c>
    </row>
    <row r="700" spans="1:2" s="89" customFormat="1" ht="24.75" customHeight="1">
      <c r="A700" s="91" t="s">
        <v>386</v>
      </c>
      <c r="B700" s="89" t="s">
        <v>318</v>
      </c>
    </row>
    <row r="701" spans="1:2" s="89" customFormat="1" ht="24.75" customHeight="1">
      <c r="A701" s="91"/>
      <c r="B701" s="89" t="s">
        <v>317</v>
      </c>
    </row>
    <row r="702" spans="1:2" s="89" customFormat="1" ht="24.75" customHeight="1">
      <c r="A702" s="91"/>
      <c r="B702" s="89" t="s">
        <v>316</v>
      </c>
    </row>
    <row r="703" spans="1:2" s="89" customFormat="1" ht="24.75" customHeight="1">
      <c r="A703" s="91"/>
      <c r="B703" s="89" t="s">
        <v>315</v>
      </c>
    </row>
    <row r="704" spans="1:8" s="89" customFormat="1" ht="24.75" customHeight="1">
      <c r="A704" s="91"/>
      <c r="B704" s="89" t="s">
        <v>314</v>
      </c>
      <c r="H704" s="94"/>
    </row>
    <row r="705" s="89" customFormat="1" ht="24.75" customHeight="1">
      <c r="A705" s="91"/>
    </row>
    <row r="706" s="89" customFormat="1" ht="24.75" customHeight="1">
      <c r="A706" s="91"/>
    </row>
    <row r="707" spans="1:2" s="89" customFormat="1" ht="24.75" customHeight="1">
      <c r="A707" s="91" t="s">
        <v>387</v>
      </c>
      <c r="B707" s="89" t="s">
        <v>313</v>
      </c>
    </row>
    <row r="708" spans="1:2" s="89" customFormat="1" ht="24.75" customHeight="1">
      <c r="A708" s="91"/>
      <c r="B708" s="89" t="s">
        <v>312</v>
      </c>
    </row>
    <row r="709" spans="1:2" s="89" customFormat="1" ht="24.75" customHeight="1">
      <c r="A709" s="91"/>
      <c r="B709" s="89" t="s">
        <v>311</v>
      </c>
    </row>
    <row r="710" spans="1:2" s="89" customFormat="1" ht="24.75" customHeight="1">
      <c r="A710" s="91"/>
      <c r="B710" s="89" t="s">
        <v>310</v>
      </c>
    </row>
    <row r="711" spans="1:2" s="89" customFormat="1" ht="24.75" customHeight="1">
      <c r="A711" s="91"/>
      <c r="B711" s="89" t="s">
        <v>309</v>
      </c>
    </row>
    <row r="712" spans="1:8" s="89" customFormat="1" ht="24.75" customHeight="1">
      <c r="A712" s="91"/>
      <c r="H712" s="94"/>
    </row>
    <row r="713" s="89" customFormat="1" ht="24.75" customHeight="1">
      <c r="A713" s="91" t="s">
        <v>382</v>
      </c>
    </row>
    <row r="714" spans="1:3" s="89" customFormat="1" ht="24.75" customHeight="1">
      <c r="A714" s="91"/>
      <c r="B714" s="89" t="s">
        <v>308</v>
      </c>
      <c r="C714" s="89">
        <v>300000</v>
      </c>
    </row>
    <row r="715" spans="1:3" s="89" customFormat="1" ht="24.75" customHeight="1">
      <c r="A715" s="91"/>
      <c r="B715" s="89" t="s">
        <v>307</v>
      </c>
      <c r="C715" s="89">
        <v>500000</v>
      </c>
    </row>
    <row r="716" spans="1:6" s="89" customFormat="1" ht="24.75" customHeight="1">
      <c r="A716" s="91"/>
      <c r="B716" s="89" t="s">
        <v>306</v>
      </c>
      <c r="F716" s="94"/>
    </row>
    <row r="717" s="89" customFormat="1" ht="24.75" customHeight="1">
      <c r="A717" s="91"/>
    </row>
    <row r="718" s="89" customFormat="1" ht="24.75" customHeight="1">
      <c r="A718" s="91" t="s">
        <v>282</v>
      </c>
    </row>
    <row r="719" spans="1:2" s="89" customFormat="1" ht="24.75" customHeight="1">
      <c r="A719" s="91"/>
      <c r="B719" s="89" t="s">
        <v>305</v>
      </c>
    </row>
    <row r="720" spans="1:2" s="89" customFormat="1" ht="24.75" customHeight="1">
      <c r="A720" s="91"/>
      <c r="B720" s="89" t="s">
        <v>304</v>
      </c>
    </row>
    <row r="721" spans="1:2" s="89" customFormat="1" ht="24.75" customHeight="1">
      <c r="A721" s="91"/>
      <c r="B721" s="89" t="s">
        <v>303</v>
      </c>
    </row>
    <row r="722" spans="1:2" s="89" customFormat="1" ht="24.75" customHeight="1">
      <c r="A722" s="91"/>
      <c r="B722" s="89" t="s">
        <v>302</v>
      </c>
    </row>
    <row r="723" spans="1:2" s="89" customFormat="1" ht="24.75" customHeight="1">
      <c r="A723" s="91"/>
      <c r="B723" s="89" t="s">
        <v>301</v>
      </c>
    </row>
    <row r="724" spans="1:9" s="89" customFormat="1" ht="24.75" customHeight="1">
      <c r="A724" s="91"/>
      <c r="B724" s="89" t="s">
        <v>300</v>
      </c>
      <c r="I724" s="94"/>
    </row>
    <row r="725" s="89" customFormat="1" ht="24.75" customHeight="1">
      <c r="A725" s="91"/>
    </row>
    <row r="726" s="89" customFormat="1" ht="24.75" customHeight="1">
      <c r="A726" s="141" t="s">
        <v>385</v>
      </c>
    </row>
    <row r="727" s="89" customFormat="1" ht="24.75" customHeight="1">
      <c r="A727" s="91"/>
    </row>
    <row r="728" spans="1:2" s="89" customFormat="1" ht="24.75" customHeight="1">
      <c r="A728" s="91" t="s">
        <v>386</v>
      </c>
      <c r="B728" s="89" t="s">
        <v>299</v>
      </c>
    </row>
    <row r="729" spans="1:2" s="89" customFormat="1" ht="24.75" customHeight="1">
      <c r="A729" s="91"/>
      <c r="B729" s="89" t="s">
        <v>298</v>
      </c>
    </row>
    <row r="730" spans="1:2" s="89" customFormat="1" ht="24.75" customHeight="1">
      <c r="A730" s="91"/>
      <c r="B730" s="89" t="s">
        <v>297</v>
      </c>
    </row>
    <row r="731" spans="1:8" s="89" customFormat="1" ht="24.75" customHeight="1">
      <c r="A731" s="91"/>
      <c r="B731" s="89" t="s">
        <v>296</v>
      </c>
      <c r="H731" s="94"/>
    </row>
    <row r="732" spans="1:8" s="89" customFormat="1" ht="24.75" customHeight="1">
      <c r="A732" s="91"/>
      <c r="H732" s="94"/>
    </row>
    <row r="733" s="89" customFormat="1" ht="24.75" customHeight="1">
      <c r="A733" s="91" t="s">
        <v>387</v>
      </c>
    </row>
    <row r="734" spans="1:2" s="89" customFormat="1" ht="24.75" customHeight="1">
      <c r="A734" s="91"/>
      <c r="B734" s="89" t="s">
        <v>295</v>
      </c>
    </row>
    <row r="735" spans="1:2" s="89" customFormat="1" ht="24.75" customHeight="1">
      <c r="A735" s="91"/>
      <c r="B735" s="89" t="s">
        <v>294</v>
      </c>
    </row>
    <row r="736" spans="1:2" s="89" customFormat="1" ht="24.75" customHeight="1">
      <c r="A736" s="91"/>
      <c r="B736" s="89" t="s">
        <v>293</v>
      </c>
    </row>
    <row r="737" spans="1:2" s="89" customFormat="1" ht="24.75" customHeight="1">
      <c r="A737" s="91"/>
      <c r="B737" s="89" t="s">
        <v>292</v>
      </c>
    </row>
    <row r="738" spans="1:2" s="89" customFormat="1" ht="24.75" customHeight="1">
      <c r="A738" s="91"/>
      <c r="B738" s="89" t="s">
        <v>291</v>
      </c>
    </row>
    <row r="739" spans="1:8" s="89" customFormat="1" ht="24.75" customHeight="1">
      <c r="A739" s="91"/>
      <c r="H739" s="94"/>
    </row>
  </sheetData>
  <sheetProtection/>
  <mergeCells count="124">
    <mergeCell ref="A637:C637"/>
    <mergeCell ref="I643:I644"/>
    <mergeCell ref="D643:D644"/>
    <mergeCell ref="E643:E644"/>
    <mergeCell ref="F643:F644"/>
    <mergeCell ref="G643:G644"/>
    <mergeCell ref="H643:H644"/>
    <mergeCell ref="B324:B325"/>
    <mergeCell ref="G348:G349"/>
    <mergeCell ref="C339:F339"/>
    <mergeCell ref="B340:B341"/>
    <mergeCell ref="F340:F341"/>
    <mergeCell ref="B342:B343"/>
    <mergeCell ref="B344:B345"/>
    <mergeCell ref="B346:B347"/>
    <mergeCell ref="B326:B327"/>
    <mergeCell ref="C326:C327"/>
    <mergeCell ref="D326:D327"/>
    <mergeCell ref="E326:E327"/>
    <mergeCell ref="F326:F327"/>
    <mergeCell ref="G326:G327"/>
    <mergeCell ref="B400:B401"/>
    <mergeCell ref="B402:B403"/>
    <mergeCell ref="B404:B405"/>
    <mergeCell ref="C317:F317"/>
    <mergeCell ref="B318:B319"/>
    <mergeCell ref="F318:F319"/>
    <mergeCell ref="B320:B321"/>
    <mergeCell ref="B322:B323"/>
    <mergeCell ref="B398:B399"/>
    <mergeCell ref="F398:F399"/>
    <mergeCell ref="B348:B349"/>
    <mergeCell ref="C348:C349"/>
    <mergeCell ref="D348:D349"/>
    <mergeCell ref="E348:E349"/>
    <mergeCell ref="F348:F349"/>
    <mergeCell ref="B350:B351"/>
    <mergeCell ref="C350:C351"/>
    <mergeCell ref="D350:D351"/>
    <mergeCell ref="E350:E351"/>
    <mergeCell ref="C397:F397"/>
    <mergeCell ref="B406:B407"/>
    <mergeCell ref="C406:C407"/>
    <mergeCell ref="E406:E407"/>
    <mergeCell ref="F406:F407"/>
    <mergeCell ref="G406:G407"/>
    <mergeCell ref="C421:F421"/>
    <mergeCell ref="B422:B423"/>
    <mergeCell ref="F422:F423"/>
    <mergeCell ref="D406:D407"/>
    <mergeCell ref="B424:B425"/>
    <mergeCell ref="B426:B427"/>
    <mergeCell ref="B428:B429"/>
    <mergeCell ref="B430:B431"/>
    <mergeCell ref="C430:C431"/>
    <mergeCell ref="E430:E431"/>
    <mergeCell ref="F430:F431"/>
    <mergeCell ref="G430:G431"/>
    <mergeCell ref="C444:F444"/>
    <mergeCell ref="B445:B446"/>
    <mergeCell ref="F445:F446"/>
    <mergeCell ref="D430:D431"/>
    <mergeCell ref="B447:B448"/>
    <mergeCell ref="B449:B450"/>
    <mergeCell ref="B451:B452"/>
    <mergeCell ref="B453:B454"/>
    <mergeCell ref="C453:C454"/>
    <mergeCell ref="E453:E454"/>
    <mergeCell ref="F453:F454"/>
    <mergeCell ref="G453:G454"/>
    <mergeCell ref="C467:F467"/>
    <mergeCell ref="B468:B469"/>
    <mergeCell ref="F468:F469"/>
    <mergeCell ref="D453:D454"/>
    <mergeCell ref="B470:B471"/>
    <mergeCell ref="B472:B473"/>
    <mergeCell ref="B474:B475"/>
    <mergeCell ref="B476:B477"/>
    <mergeCell ref="C476:C477"/>
    <mergeCell ref="E476:E477"/>
    <mergeCell ref="F476:F477"/>
    <mergeCell ref="G476:G477"/>
    <mergeCell ref="F492:F493"/>
    <mergeCell ref="D476:D477"/>
    <mergeCell ref="B494:B495"/>
    <mergeCell ref="B496:B497"/>
    <mergeCell ref="B498:B499"/>
    <mergeCell ref="B500:B501"/>
    <mergeCell ref="C500:C501"/>
    <mergeCell ref="E500:E501"/>
    <mergeCell ref="F500:F501"/>
    <mergeCell ref="E577:E578"/>
    <mergeCell ref="F577:F578"/>
    <mergeCell ref="G577:G578"/>
    <mergeCell ref="B571:B572"/>
    <mergeCell ref="B573:B574"/>
    <mergeCell ref="B575:B576"/>
    <mergeCell ref="B577:B578"/>
    <mergeCell ref="C577:C578"/>
    <mergeCell ref="D577:D578"/>
    <mergeCell ref="B41:E42"/>
    <mergeCell ref="B83:K85"/>
    <mergeCell ref="B121:J122"/>
    <mergeCell ref="B221:U222"/>
    <mergeCell ref="B235:J237"/>
    <mergeCell ref="C568:F568"/>
    <mergeCell ref="B569:B570"/>
    <mergeCell ref="F569:F570"/>
    <mergeCell ref="D522:D523"/>
    <mergeCell ref="G500:G501"/>
    <mergeCell ref="C513:F513"/>
    <mergeCell ref="B514:B515"/>
    <mergeCell ref="F514:F515"/>
    <mergeCell ref="D500:D501"/>
    <mergeCell ref="B516:B517"/>
    <mergeCell ref="B518:B519"/>
    <mergeCell ref="B520:B521"/>
    <mergeCell ref="B522:B523"/>
    <mergeCell ref="C522:C523"/>
    <mergeCell ref="E522:E523"/>
    <mergeCell ref="F522:F523"/>
    <mergeCell ref="G522:G523"/>
    <mergeCell ref="C491:F491"/>
    <mergeCell ref="B492:B493"/>
  </mergeCells>
  <printOptions/>
  <pageMargins left="0.7" right="0.7" top="0.75" bottom="0.75" header="0.3" footer="0.3"/>
  <pageSetup horizontalDpi="600" verticalDpi="600" orientation="landscape" paperSize="9" scale="22" r:id="rId2"/>
  <rowBreaks count="1" manualBreakCount="1">
    <brk id="2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Prasanna</cp:lastModifiedBy>
  <cp:lastPrinted>2013-12-23T12:44:23Z</cp:lastPrinted>
  <dcterms:created xsi:type="dcterms:W3CDTF">2013-11-30T02:51:05Z</dcterms:created>
  <dcterms:modified xsi:type="dcterms:W3CDTF">2013-12-23T12:50:16Z</dcterms:modified>
  <cp:category/>
  <cp:version/>
  <cp:contentType/>
  <cp:contentStatus/>
</cp:coreProperties>
</file>